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ROCESSOS LICITATÓRIOS 2026\PROJETO PONTE RIO FEIJÃO\"/>
    </mc:Choice>
  </mc:AlternateContent>
  <xr:revisionPtr revIDLastSave="0" documentId="8_{FE352371-AD18-4C16-98A3-0DD6A1ACF31D}" xr6:coauthVersionLast="47" xr6:coauthVersionMax="47" xr10:uidLastSave="{00000000-0000-0000-0000-000000000000}"/>
  <bookViews>
    <workbookView xWindow="1905" yWindow="1905" windowWidth="21600" windowHeight="11385" xr2:uid="{8BE47718-5CAA-424D-8CE6-352F7B7A4D10}"/>
  </bookViews>
  <sheets>
    <sheet name="ORÇAMENTO" sheetId="1" r:id="rId1"/>
    <sheet name="CRONOGRAMA" sheetId="3" r:id="rId2"/>
    <sheet name="CRONOGRAMA (2)" sheetId="4" state="hidden" r:id="rId3"/>
  </sheets>
  <definedNames>
    <definedName name="_xlnm.Print_Area" localSheetId="1">CRONOGRAMA!$A$1:$K$29</definedName>
    <definedName name="_xlnm.Print_Area" localSheetId="0">ORÇAMENTO!$A$1:$J$69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" i="4" l="1"/>
  <c r="J25" i="4"/>
  <c r="I25" i="4"/>
  <c r="H25" i="4"/>
  <c r="B25" i="4"/>
  <c r="G25" i="4" s="1"/>
  <c r="A25" i="4"/>
  <c r="K24" i="4"/>
  <c r="J22" i="4"/>
  <c r="I22" i="4"/>
  <c r="H22" i="4"/>
  <c r="H15" i="4" s="1"/>
  <c r="B22" i="4"/>
  <c r="G22" i="4" s="1"/>
  <c r="A22" i="4"/>
  <c r="K21" i="4"/>
  <c r="J19" i="4"/>
  <c r="I19" i="4"/>
  <c r="H19" i="4"/>
  <c r="B19" i="4"/>
  <c r="G19" i="4" s="1"/>
  <c r="A19" i="4"/>
  <c r="K18" i="4"/>
  <c r="G16" i="4"/>
  <c r="F16" i="4"/>
  <c r="C16" i="4"/>
  <c r="B16" i="4"/>
  <c r="E16" i="4" s="1"/>
  <c r="A16" i="4"/>
  <c r="B15" i="4"/>
  <c r="A15" i="4"/>
  <c r="K14" i="4"/>
  <c r="B12" i="4"/>
  <c r="D12" i="4" s="1"/>
  <c r="A12" i="4"/>
  <c r="K11" i="4"/>
  <c r="B9" i="4"/>
  <c r="A9" i="4"/>
  <c r="A4" i="4"/>
  <c r="I29" i="3"/>
  <c r="J29" i="3"/>
  <c r="H19" i="3"/>
  <c r="H15" i="3" s="1"/>
  <c r="J15" i="3"/>
  <c r="G15" i="3"/>
  <c r="D15" i="3"/>
  <c r="F15" i="3"/>
  <c r="C15" i="3"/>
  <c r="D19" i="3"/>
  <c r="C19" i="3"/>
  <c r="J19" i="3"/>
  <c r="I19" i="3"/>
  <c r="I28" i="3" s="1"/>
  <c r="G19" i="3"/>
  <c r="F19" i="3"/>
  <c r="E19" i="3"/>
  <c r="E15" i="3" s="1"/>
  <c r="E16" i="3"/>
  <c r="D16" i="3"/>
  <c r="C16" i="3"/>
  <c r="L9" i="3"/>
  <c r="J25" i="3"/>
  <c r="I25" i="3"/>
  <c r="H25" i="3"/>
  <c r="G25" i="3"/>
  <c r="F25" i="3"/>
  <c r="E25" i="3"/>
  <c r="D25" i="3"/>
  <c r="C25" i="3"/>
  <c r="J22" i="3"/>
  <c r="I22" i="3"/>
  <c r="H22" i="3"/>
  <c r="G22" i="3"/>
  <c r="F22" i="3"/>
  <c r="E22" i="3"/>
  <c r="D22" i="3"/>
  <c r="C22" i="3"/>
  <c r="B25" i="3"/>
  <c r="B22" i="3"/>
  <c r="B19" i="3"/>
  <c r="B16" i="3"/>
  <c r="B15" i="3"/>
  <c r="B12" i="3"/>
  <c r="I51" i="1"/>
  <c r="I52" i="1"/>
  <c r="L68" i="1"/>
  <c r="J28" i="1"/>
  <c r="J54" i="1"/>
  <c r="J11" i="1"/>
  <c r="B9" i="3" s="1"/>
  <c r="C9" i="3" s="1"/>
  <c r="A15" i="3"/>
  <c r="A25" i="3"/>
  <c r="K27" i="3"/>
  <c r="A22" i="3"/>
  <c r="A19" i="3"/>
  <c r="A16" i="3"/>
  <c r="A12" i="3"/>
  <c r="K21" i="3"/>
  <c r="K18" i="3"/>
  <c r="A9" i="3"/>
  <c r="A4" i="3"/>
  <c r="K24" i="3"/>
  <c r="G12" i="1"/>
  <c r="H12" i="1" s="1"/>
  <c r="J12" i="1" s="1"/>
  <c r="G15" i="4" l="1"/>
  <c r="H28" i="4"/>
  <c r="I28" i="4"/>
  <c r="I15" i="4"/>
  <c r="C12" i="4"/>
  <c r="K12" i="4" s="1"/>
  <c r="B28" i="4"/>
  <c r="H29" i="4" s="1"/>
  <c r="D19" i="4"/>
  <c r="D22" i="4"/>
  <c r="D25" i="4"/>
  <c r="J12" i="4"/>
  <c r="C19" i="4"/>
  <c r="C22" i="4"/>
  <c r="C25" i="4"/>
  <c r="K25" i="4" s="1"/>
  <c r="C9" i="4"/>
  <c r="E19" i="4"/>
  <c r="E22" i="4"/>
  <c r="D16" i="4"/>
  <c r="F19" i="4"/>
  <c r="F22" i="4"/>
  <c r="F15" i="4" s="1"/>
  <c r="F25" i="4"/>
  <c r="G28" i="4"/>
  <c r="J16" i="4"/>
  <c r="J15" i="4" s="1"/>
  <c r="E25" i="4"/>
  <c r="H28" i="3"/>
  <c r="H29" i="3" s="1"/>
  <c r="I15" i="3"/>
  <c r="K15" i="3" s="1"/>
  <c r="G28" i="3"/>
  <c r="D12" i="3"/>
  <c r="D28" i="3"/>
  <c r="F16" i="3"/>
  <c r="G16" i="3"/>
  <c r="B28" i="3"/>
  <c r="J16" i="3"/>
  <c r="K16" i="3" s="1"/>
  <c r="E28" i="3"/>
  <c r="C12" i="3"/>
  <c r="C28" i="3" s="1"/>
  <c r="F28" i="3"/>
  <c r="J12" i="3"/>
  <c r="K25" i="3"/>
  <c r="K14" i="3"/>
  <c r="D15" i="4" l="1"/>
  <c r="E28" i="4"/>
  <c r="E29" i="4" s="1"/>
  <c r="E15" i="4"/>
  <c r="K16" i="4"/>
  <c r="K9" i="4"/>
  <c r="L9" i="4" s="1"/>
  <c r="C28" i="4"/>
  <c r="K22" i="4"/>
  <c r="J28" i="4"/>
  <c r="J29" i="4" s="1"/>
  <c r="F28" i="4"/>
  <c r="F29" i="4" s="1"/>
  <c r="I29" i="4"/>
  <c r="D28" i="4"/>
  <c r="D29" i="4" s="1"/>
  <c r="K19" i="4"/>
  <c r="G29" i="4"/>
  <c r="C15" i="4"/>
  <c r="K19" i="3"/>
  <c r="K12" i="3"/>
  <c r="J28" i="3"/>
  <c r="D29" i="3"/>
  <c r="G29" i="3"/>
  <c r="K9" i="3"/>
  <c r="K11" i="3"/>
  <c r="E29" i="3"/>
  <c r="K22" i="3"/>
  <c r="F29" i="3"/>
  <c r="K15" i="4" l="1"/>
  <c r="C29" i="4"/>
  <c r="K29" i="4" s="1"/>
  <c r="K28" i="4"/>
  <c r="C29" i="3"/>
  <c r="K29" i="3" s="1"/>
  <c r="K28" i="3"/>
  <c r="E23" i="1" l="1"/>
  <c r="L69" i="1"/>
  <c r="H23" i="1"/>
  <c r="G55" i="1"/>
  <c r="G64" i="1"/>
  <c r="H64" i="1" s="1"/>
  <c r="J64" i="1" s="1"/>
  <c r="H63" i="1"/>
  <c r="J63" i="1" s="1"/>
  <c r="E59" i="1"/>
  <c r="J59" i="1" s="1"/>
  <c r="H52" i="1"/>
  <c r="J52" i="1" s="1"/>
  <c r="J32" i="1" s="1"/>
  <c r="J26" i="1" s="1"/>
  <c r="E51" i="1"/>
  <c r="E58" i="1"/>
  <c r="G13" i="1"/>
  <c r="G16" i="1" s="1"/>
  <c r="I19" i="1"/>
  <c r="E19" i="1" s="1"/>
  <c r="I18" i="1"/>
  <c r="I20" i="1"/>
  <c r="I21" i="1" s="1"/>
  <c r="I17" i="1"/>
  <c r="E17" i="1" s="1"/>
  <c r="E13" i="1"/>
  <c r="F50" i="1"/>
  <c r="I50" i="1" s="1"/>
  <c r="E50" i="1" s="1"/>
  <c r="I46" i="1"/>
  <c r="E46" i="1" s="1"/>
  <c r="I49" i="1"/>
  <c r="E49" i="1" s="1"/>
  <c r="E48" i="1"/>
  <c r="E47" i="1"/>
  <c r="E45" i="1"/>
  <c r="E44" i="1"/>
  <c r="E43" i="1"/>
  <c r="E42" i="1"/>
  <c r="E41" i="1"/>
  <c r="E29" i="1"/>
  <c r="E30" i="1"/>
  <c r="I39" i="1"/>
  <c r="E39" i="1" s="1"/>
  <c r="E34" i="1"/>
  <c r="E35" i="1"/>
  <c r="E36" i="1"/>
  <c r="E37" i="1"/>
  <c r="E38" i="1"/>
  <c r="E33" i="1"/>
  <c r="J23" i="1" l="1"/>
  <c r="G65" i="1"/>
  <c r="G66" i="1" s="1"/>
  <c r="H66" i="1" s="1"/>
  <c r="J66" i="1" s="1"/>
  <c r="J62" i="1" s="1"/>
  <c r="G17" i="1"/>
  <c r="H16" i="1"/>
  <c r="H13" i="1"/>
  <c r="J13" i="1" s="1"/>
  <c r="E18" i="1"/>
  <c r="I22" i="1"/>
  <c r="E21" i="1"/>
  <c r="E16" i="1"/>
  <c r="E20" i="1"/>
  <c r="E22" i="1" l="1"/>
  <c r="I23" i="1"/>
  <c r="H65" i="1"/>
  <c r="J65" i="1" s="1"/>
  <c r="J16" i="1"/>
  <c r="G18" i="1"/>
  <c r="H17" i="1"/>
  <c r="J17" i="1" s="1"/>
  <c r="H18" i="1" l="1"/>
  <c r="J18" i="1" s="1"/>
  <c r="G19" i="1"/>
  <c r="H19" i="1" l="1"/>
  <c r="J19" i="1" s="1"/>
  <c r="G20" i="1"/>
  <c r="H20" i="1" l="1"/>
  <c r="J20" i="1" s="1"/>
  <c r="G21" i="1"/>
  <c r="G22" i="1" l="1"/>
  <c r="G24" i="1" s="1"/>
  <c r="H21" i="1"/>
  <c r="J21" i="1" s="1"/>
  <c r="G29" i="1" l="1"/>
  <c r="H24" i="1"/>
  <c r="J24" i="1" s="1"/>
  <c r="J15" i="1" s="1"/>
  <c r="J68" i="1" s="1"/>
  <c r="H22" i="1"/>
  <c r="J22" i="1" s="1"/>
  <c r="H29" i="1" l="1"/>
  <c r="J29" i="1" s="1"/>
  <c r="G30" i="1"/>
  <c r="G33" i="1" s="1"/>
  <c r="H30" i="1" l="1"/>
  <c r="J30" i="1" s="1"/>
  <c r="G34" i="1" l="1"/>
  <c r="H33" i="1"/>
  <c r="J33" i="1" s="1"/>
  <c r="H34" i="1" l="1"/>
  <c r="J34" i="1" s="1"/>
  <c r="G35" i="1"/>
  <c r="H35" i="1" l="1"/>
  <c r="J35" i="1" s="1"/>
  <c r="G36" i="1"/>
  <c r="H36" i="1" l="1"/>
  <c r="J36" i="1" s="1"/>
  <c r="G37" i="1"/>
  <c r="G38" i="1" l="1"/>
  <c r="H37" i="1"/>
  <c r="J37" i="1" s="1"/>
  <c r="G39" i="1" l="1"/>
  <c r="G41" i="1" s="1"/>
  <c r="H38" i="1"/>
  <c r="J38" i="1" s="1"/>
  <c r="H39" i="1" l="1"/>
  <c r="J39" i="1" s="1"/>
  <c r="H41" i="1" l="1"/>
  <c r="J41" i="1" s="1"/>
  <c r="G42" i="1"/>
  <c r="H42" i="1" l="1"/>
  <c r="J42" i="1" s="1"/>
  <c r="G43" i="1"/>
  <c r="G44" i="1" l="1"/>
  <c r="H43" i="1"/>
  <c r="J43" i="1" s="1"/>
  <c r="G45" i="1" l="1"/>
  <c r="H44" i="1"/>
  <c r="J44" i="1" s="1"/>
  <c r="G46" i="1" l="1"/>
  <c r="H45" i="1"/>
  <c r="J45" i="1" s="1"/>
  <c r="H46" i="1" l="1"/>
  <c r="J46" i="1" s="1"/>
  <c r="G47" i="1"/>
  <c r="H47" i="1" l="1"/>
  <c r="J47" i="1" s="1"/>
  <c r="G48" i="1"/>
  <c r="H48" i="1" l="1"/>
  <c r="J48" i="1" s="1"/>
  <c r="G49" i="1"/>
  <c r="G50" i="1" l="1"/>
  <c r="H49" i="1"/>
  <c r="J49" i="1" s="1"/>
  <c r="H50" i="1" l="1"/>
  <c r="J50" i="1" s="1"/>
  <c r="H55" i="1" l="1"/>
  <c r="J55" i="1" s="1"/>
  <c r="G56" i="1"/>
  <c r="H56" i="1" l="1"/>
  <c r="J56" i="1" s="1"/>
  <c r="G57" i="1"/>
  <c r="H57" i="1" l="1"/>
  <c r="J57" i="1" s="1"/>
  <c r="G58" i="1"/>
  <c r="G59" i="1" s="1"/>
  <c r="G51" i="1" l="1"/>
  <c r="H51" i="1" s="1"/>
  <c r="J51" i="1" s="1"/>
  <c r="H58" i="1"/>
  <c r="J58" i="1" s="1"/>
</calcChain>
</file>

<file path=xl/sharedStrings.xml><?xml version="1.0" encoding="utf-8"?>
<sst xmlns="http://schemas.openxmlformats.org/spreadsheetml/2006/main" count="172" uniqueCount="130">
  <si>
    <t>LIMPEZA MECANIZADA DE CAMADA VEGETAL, VEGETAÇÃO E PEQUENAS ÁRVORES (DIÂMETRO DE TRONCO MENOR QUE 0,20 M), COM TRATOR DE ESTEIRAS. AF_03/2024</t>
  </si>
  <si>
    <t>M2</t>
  </si>
  <si>
    <t>EXECUÇÃO E COMPACTAÇÃO DE CAMADA FINAL DE ATERRO (100% DE ENERGIA DO PROCTOR NORMAL) COM SOLO PREDOMINANTEMENTE ARGILOSO, EM CAMADAS COM ESPESSURA DE 20 CM - EXCLUSIVE ESCAVAÇÃO, CARGA E TRANSPORTE E SOLO. AF_09/2024</t>
  </si>
  <si>
    <t>M3</t>
  </si>
  <si>
    <t>EXECUÇÃO E COMPACTAÇÃO DE CORPO DE ATERRO (95% DE ENERGIA DO PROCTOR NORMAL) COM SOLO PREDOMINANTEMENTE ARENOSO, EM CAMADAS COM ESPESSURA DE 20 CM - EXCLUSIVE ESCAVAÇÃO, CARGA EM CAMADAS COM ESPESSURA DE 20 CM - EXCLUSIVE ESCAVAÇÃO, CARGA E</t>
  </si>
  <si>
    <t>ESCAVAÇÃO VERTICAL PARA INFRAESTRUTURA, COM CARGA, DESCARGA E TRANSPORTE DE SOLO DE 1ª CATEGORIA, COM ESCAVADEIRA HIDRÁULICA (CAÇAMBA: 0,8 M³ / 111HP), FROTA DE 3 CAMINHÕES BASCULANTES DE 10 M³, DMT ATÉ 1 KM E VELOCIDADE MÉDIA14 KM/H. AF_05/2020</t>
  </si>
  <si>
    <t>TRANSPORTE COM CAMINHÃO BASCULANTE DE 10 M³, EM VIA URBANA EM LEITO NATURAL (UNIDADE: M3XKM). COM CAMINHÃO BASCULANTE DE 10 M³, EM VIA URBANA EM LEITO NATURAL (UNIDADE: M3XKM).</t>
  </si>
  <si>
    <t>M3XKM</t>
  </si>
  <si>
    <t>CARGA, MANOBRA E DESCARGA DE SOLOS E MATERIAIS GRANULARES EM CAMINHÃO BASCULANTE 10 M³ - CARGA COM ESCAVADEIRA HIDRÁULICA (CAÇAMBA DE 1,20 M³ / 155 HP) E DESCARGA LIVRE (UNIDADE: M3) AF_07/2020</t>
  </si>
  <si>
    <t>BATE ESTACA PARA INSTALAÇÃO DE DEFENSAS METÁLICAS (GUARD RAIL) FIXO, INCLUSIVE CAMINHÃO TOCO PBT O, INCLUSIVE CAMINHÃO TOCO PBT</t>
  </si>
  <si>
    <t>H</t>
  </si>
  <si>
    <t>ESTACA PRÉ-MOLDADA DE CONCRETO CENTRIFUGADO, SEÇÃO CIRCULAR, CAPACIDADE DE 100 TONELADAS, INCLUSO EMENDA (EXCLUSIVE MOBILIZAÇÃO E DESMOBILIZAÇÃO). AF_12/2019</t>
  </si>
  <si>
    <t>m</t>
  </si>
  <si>
    <t>Infraestrutura</t>
  </si>
  <si>
    <t>Mesoestrutura</t>
  </si>
  <si>
    <t>ARMAÇÃO DE CORTINA DE CONTENÇÃO EM CONCRETO ARMADO, COM AÇO CA-50 DE 8 MM - MONTAGEM. AF_11/2024</t>
  </si>
  <si>
    <t>kg</t>
  </si>
  <si>
    <t>ARMAÇÃO DE CORTINA DE CONTENÇÃO EM CONCRETO ARMADO, COM AÇO CA-50 DE 12,5 MM - MONTAGEM. AF_11/2024</t>
  </si>
  <si>
    <t>ARMAÇÃO DE CORTINA DE CONTENÇÃO EM CONCRETO ARMADO, COM AÇO CA-50 DE 16 MM - MONTAGEM. CORTINA DE CONTENÇÃO EM CONCRETO ARMADO, COM AÇO CA-50 DE 16 MM - MONTAGEM.</t>
  </si>
  <si>
    <t>ARMAÇÃO DE CORTINA DE CONTENÇÃO EM CONCRETO ARMADO, COM AÇO CA-50 DE 20 MM - MONTAGEM. AF_11/2024</t>
  </si>
  <si>
    <t>ARMAÇÃO DE CORTINA DE CONTENÇÃO EM CONCRETO ARMADO, COM AÇO CA-50 DE 25 MM - MONTAGEM AF_11/2024</t>
  </si>
  <si>
    <t>m3</t>
  </si>
  <si>
    <t>CONCRETAGEM DE CORTINA DE CONTENÇÃO, ATRAVÉS DE BOMBA - LANÇAMENTO, ADENSAMENTO E ACABAMENTO. AF_11/2024</t>
  </si>
  <si>
    <t>FABRICAÇÃO, MONTAGEM E DESMONTAGEM DE FÔRMA PARA CORTINA DE CONTENÇÃO, EM CHAPA DE MADEIRA COMPENSADA PLASTIFICADA, E = 18 MM, 10 UTILIZAÇÕES. AF_11/2024</t>
  </si>
  <si>
    <t>m2</t>
  </si>
  <si>
    <t>por unid.</t>
  </si>
  <si>
    <t>Vigas (8X)</t>
  </si>
  <si>
    <t>ARMAÇÃO DE SAPATA ISOLADA, VIGA BALDRAME E SAPATA CORRIDA UTILIZANDO AÇO CA-60 DE 5 MM - DA, VIGA BALDRAME E SAPATA CORRIDA UTILIZANDO AÇO CA-60 DE 5 MM -</t>
  </si>
  <si>
    <t>ARMAÇÃO DE SAPATA ISOLADA, VIGA BALDRAME E SAPATA CORRIDA UTILIZANDO AÇO CA-50 DE 6,3 MM - MONTAGEM. AF_01/2024</t>
  </si>
  <si>
    <t>ARMAÇÃO DE SAPATA ISOLADA, VIGA BALDRAME E SAPATA CORRIDA UTILIZANDO AÇO CA-50 DE 8 MM - MONTAGEM. AF_01/2024</t>
  </si>
  <si>
    <t>ARMAÇÃO DE BLOCO, SAPATA ISOLADA, VIGA BALDRAME E SAPATA CORRIDA UTILIZANDO AÇO CA-50 DE 16 MM - MONTAGEM. AF_01/2024</t>
  </si>
  <si>
    <t>FORNECIMENTO E INSTALAÇÃO DE CORDOALHA COM 7 FIOS, RESISTÊNCIA À TRAÇÃO DE 190 KGF/MM² E DIÂMETRO NOMINAL DE 12,7 MM, EM VIGA. AF_08/2022</t>
  </si>
  <si>
    <t>um</t>
  </si>
  <si>
    <t>CONCRETO USINADO BOMBEAVEL, CLASSE DE RESISTENCIA C45, BRITA 0 E 1, SLUMP = 100 +/- 20 MM, COM BOMBEAMENTO (DISPONIBILIZACAO DE BOMBA), SEM O LANCAMENTO (NBR 8953)</t>
  </si>
  <si>
    <t>FABRICAÇÃO, MONTAGEM E DESMONTAGEM DE FÔRMA PARA VIGA BALDRAME, EM CHAPA DE MADEIRA COMPENSADA RESINADA, E=17 MM, 2 UTILIZAÇÕES. AF_01/2024</t>
  </si>
  <si>
    <t>CONCRETAGEM DE RADIER, PISO DE CONCRETO OU LAJE SOBRE SOLO, FCK 30 MPA - LANÇAMENTO, ADENSAMENTO E ACABAMENTO. AF_09/2021</t>
  </si>
  <si>
    <t>ARMAÇÃO DE ESTRUTURAS DIVERSAS DE CONCRETO ARMADO, EXCETO VIGAS, PILARES, LAJES E FUNDAÇÕES, UTILIZANDO AÇO CA-50 DE 6,3 MM - MONTAGEM. AF_06/2022</t>
  </si>
  <si>
    <t>ARMAÇÃO DE ESTRUTURAS DIVERSAS DE CONCRETO ARMADO, EXCETO VIGAS, PILARES, LAJES E FUNDAÇÕES, UTILIZANDO AÇO CA-50 DE 8,0 MM - MONTAGEM. AF_06/2022</t>
  </si>
  <si>
    <t>ARMAÇÃO DE ESTRUTURAS DIVERSAS DE CONCRETO ARMADO, EXCETO VIGAS, PILARES, LAJES E FUNDAÇÕES, UTILIZANDO AÇO CA-50 DE 10,0 MM - MONTAGEM. AF_06/2022</t>
  </si>
  <si>
    <t>dm3</t>
  </si>
  <si>
    <t>GUINDASTE HIDRÁULICO AUTOPROPELIDO, COM LANÇA TELESCÓPICA 40 M, CAPACIDADE MÁXIMA 60 T, POTÊNCIA 260 KW - CHP DIURNO. AF_03/2016</t>
  </si>
  <si>
    <t>h</t>
  </si>
  <si>
    <t>TUBO PVC, SERIE NORMAL, ESGOTO PREDIAL, DN 100 MM, FORNECIDO E INSTALADO EM RAMAL DE DESCARGA OU RAMAL DE ESGOTO SANITÁRIO. AF_08/2022</t>
  </si>
  <si>
    <t>CONCRETO USINADO BOMBEAVEL, CLASSE DE RESISTENCIA C45, BRITA 0 E 1, SLUMP = 100 +/- 20 MM, COM BOMBEAMENTO (DISPONIBILIZACAO DE BOMBA), SEM O LANCAMENTO (NBR 8953) - pavimento</t>
  </si>
  <si>
    <t>COMPLEMENTARES</t>
  </si>
  <si>
    <t>PLANTIO DE GRAMA ESMERALDA OU SÃO CARLOS OU CURITIBANA, EM PLACAS. AF_07/2024</t>
  </si>
  <si>
    <t>REGULARIZAÇÃO E COMPACTAÇÃO DE SUBLEITO DE SOLO PREDOMINANTEMENTE ARGILOSO, PARA OBRAS DE RECONSTRUÇÃO DE PAVIMENTOS. AF_09/2024</t>
  </si>
  <si>
    <t>Superestrutura</t>
  </si>
  <si>
    <t>PROTEÇÃO SUPERFICIAL DE CANAL EM GABIÃO TIPO COLCHÃO, ALTURA DE 30 CENTÍMETROS, ENCHIMENTO COM PEDRA DE MÃO TIPO RACHÃO - FORNECIMENTO E EXECUÇÃO. AF_03/2024</t>
  </si>
  <si>
    <t>BAINHA METÁLICA OVALIZADA SEÇÃO 19 X 36 MM PARA 1 CORDOALHA D = 12,7 MM - FORNECIMENTO, INSTALAÇÃO E INJEÇÃO DE NATA DE CIMENTO</t>
  </si>
  <si>
    <t>PROTENSÃO DE TIRANTE COM 12 CORDOALHAS D = 12,7 MM AÇO CP 190 RB, COM CAPACIDADE DE 1.040 KN - INCLUSIVE ANCORAGEM E GRAUTEAMENTO DA CABEÇA</t>
  </si>
  <si>
    <t>CONFECÇÃO DE BARREIRA SIMPLES DE CONCRETO, ARMADA, PRÉ-MOLDADA (PERFIL NEW JERSEY) - L &gt; 3,00 M E H = 810 MM</t>
  </si>
  <si>
    <t>GUARDA-CORPO E CORRIMÃO METÁLICO PARA PASSARELAS PARA PEDESTRES - FORNECIMENTO E INSTALAÇÃO</t>
  </si>
  <si>
    <t>APARELHO DE APOIO DE NEOPRENE FRETADO PARA ESTRUTURAS PRÉ-MOLDADAS - FORNECIMENTO E INSTALAÇÃO</t>
  </si>
  <si>
    <t>CÓD.</t>
  </si>
  <si>
    <t>DESCRIÇÃO</t>
  </si>
  <si>
    <t>UNID.</t>
  </si>
  <si>
    <t>QUANT.</t>
  </si>
  <si>
    <t>C.UNIT(R$)</t>
  </si>
  <si>
    <t>BDI (5)</t>
  </si>
  <si>
    <t>P. UNIT (R$)</t>
  </si>
  <si>
    <t>P. TOTAL (R$)</t>
  </si>
  <si>
    <t>PREFEITURA DE</t>
  </si>
  <si>
    <t xml:space="preserve">LEOBERTO LEAL </t>
  </si>
  <si>
    <t>OBRA:</t>
  </si>
  <si>
    <t>DATA BASE:</t>
  </si>
  <si>
    <t>BDI (%)</t>
  </si>
  <si>
    <t>PONTE SOBRE O RIO FEIJÃO - ZONA RURAL - LEOBERTO LEAL/SC</t>
  </si>
  <si>
    <t>SINAPI (09/2025)</t>
  </si>
  <si>
    <t>SICRO (07/2025)</t>
  </si>
  <si>
    <t>TOTAL ORÇADO -R$</t>
  </si>
  <si>
    <t>ITEM</t>
  </si>
  <si>
    <t>SERVIÇOS PRELIMINARES</t>
  </si>
  <si>
    <t>1.1</t>
  </si>
  <si>
    <t>1.2</t>
  </si>
  <si>
    <t>TERRAPLENAGEM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</si>
  <si>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</si>
  <si>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</si>
  <si>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</si>
  <si>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</si>
  <si>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</si>
  <si>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</si>
  <si>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</si>
  <si>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</si>
  <si>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</si>
  <si>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OBRA DE ARTE ESPECIAL (PONTE)</t>
  </si>
  <si>
    <t>3.1</t>
  </si>
  <si>
    <t>3.1.1</t>
  </si>
  <si>
    <t>3.1.2</t>
  </si>
  <si>
    <t>3.2</t>
  </si>
  <si>
    <t>3.2.1</t>
  </si>
  <si>
    <t>3.2.2</t>
  </si>
  <si>
    <t>3.2.3</t>
  </si>
  <si>
    <t>3.2.4</t>
  </si>
  <si>
    <t>3.2.5</t>
  </si>
  <si>
    <t>3.2.6</t>
  </si>
  <si>
    <t>3.2.7</t>
  </si>
  <si>
    <t>32.8</t>
  </si>
  <si>
    <t>3.2.8.1</t>
  </si>
  <si>
    <t>3.2.8.2</t>
  </si>
  <si>
    <t>3.2.8.3</t>
  </si>
  <si>
    <t>3.2.8.4</t>
  </si>
  <si>
    <t>3.2.8.5</t>
  </si>
  <si>
    <t>3.2.8.6</t>
  </si>
  <si>
    <t>3.2.8.7</t>
  </si>
  <si>
    <t>3.2.8.8</t>
  </si>
  <si>
    <t>3.2.8.9</t>
  </si>
  <si>
    <t>3.2.8.10</t>
  </si>
  <si>
    <t>3.2.8.11</t>
  </si>
  <si>
    <t>3.2.8.12</t>
  </si>
  <si>
    <t>3.3</t>
  </si>
  <si>
    <t>3.3.1</t>
  </si>
  <si>
    <t>3.3.2</t>
  </si>
  <si>
    <t>3.3.3</t>
  </si>
  <si>
    <t>3.3.4</t>
  </si>
  <si>
    <t>3.3.5</t>
  </si>
  <si>
    <t>4.1</t>
  </si>
  <si>
    <t>4.2</t>
  </si>
  <si>
    <t>4.3</t>
  </si>
  <si>
    <t>4.4</t>
  </si>
  <si>
    <t>FORNECIMENTO E INSTALAÇÃO DE PLACA DE OBRA COM CHAPA GALVANIZADA E ESTRUTURA DE MADEIRA. AF_03/2022_PS</t>
  </si>
  <si>
    <t>CRONOGRAMA FÍSICO FINANCEIRO</t>
  </si>
  <si>
    <t>SERVIÇO</t>
  </si>
  <si>
    <t>VALOR (R$)</t>
  </si>
  <si>
    <t>TOTAL (R$)</t>
  </si>
  <si>
    <t>TOTAL MENSAL (R$):</t>
  </si>
  <si>
    <t>TOTAL MENSAL (%):</t>
  </si>
  <si>
    <t>ARMAÇÃO DE BLOCO, SAPATA ISOLADA, VIGA BALDRAME E SAPATA CORRIDA UTILIZANDO AÇO CA-50 DE 12,5 ARMAÇÃO DE BLOCO, SAPATA ISOLADA, VIGA BALDRAME E SAPATA CORRIDA UTILIZANDO AÇO CA-50 DE 12,5MM - MONTAGEM. AF_01/2024</t>
  </si>
  <si>
    <t>PERÍODO (dias)</t>
  </si>
  <si>
    <t xml:space="preserve">CRONOGRAMA FÍSICO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</si>
</sst>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0"/>
      <color theme="1"/>
      <name val="Aptos Narrow"/>
      <family val="2"/>
      <scheme val="minor"/>
    </font>
    <font>
      <sz val="18"/>
      <color theme="9" tint="-0.249977111117893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color theme="9" tint="-0.249977111117893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10" fontId="0" fillId="0" borderId="0" xfId="0" applyNumberFormat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43" fontId="3" fillId="0" borderId="1" xfId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43" fontId="9" fillId="0" borderId="1" xfId="1" applyFont="1" applyBorder="1" applyAlignment="1">
      <alignment vertical="center"/>
    </xf>
    <xf numFmtId="0" fontId="9" fillId="0" borderId="0" xfId="0" applyFont="1" applyAlignment="1">
      <alignment horizontal="left" indent="8"/>
    </xf>
    <xf numFmtId="0" fontId="10" fillId="0" borderId="0" xfId="0" applyFont="1" applyAlignment="1">
      <alignment horizontal="left" indent="8"/>
    </xf>
    <xf numFmtId="0" fontId="0" fillId="0" borderId="0" xfId="0" applyAlignment="1">
      <alignment horizontal="left" indent="8"/>
    </xf>
    <xf numFmtId="0" fontId="6" fillId="4" borderId="1" xfId="0" applyFont="1" applyFill="1" applyBorder="1" applyAlignment="1">
      <alignment horizontal="center" vertical="center"/>
    </xf>
    <xf numFmtId="43" fontId="0" fillId="0" borderId="2" xfId="0" applyNumberFormat="1" applyBorder="1"/>
    <xf numFmtId="0" fontId="12" fillId="5" borderId="0" xfId="0" applyFont="1" applyFill="1"/>
    <xf numFmtId="0" fontId="0" fillId="0" borderId="3" xfId="0" applyBorder="1"/>
    <xf numFmtId="10" fontId="0" fillId="0" borderId="0" xfId="2" applyNumberFormat="1" applyFont="1"/>
    <xf numFmtId="9" fontId="0" fillId="0" borderId="1" xfId="0" applyNumberFormat="1" applyBorder="1"/>
    <xf numFmtId="0" fontId="3" fillId="0" borderId="1" xfId="0" applyFont="1" applyBorder="1"/>
    <xf numFmtId="43" fontId="3" fillId="0" borderId="1" xfId="0" applyNumberFormat="1" applyFont="1" applyBorder="1"/>
    <xf numFmtId="10" fontId="3" fillId="0" borderId="1" xfId="2" applyNumberFormat="1" applyFont="1" applyBorder="1"/>
    <xf numFmtId="43" fontId="0" fillId="0" borderId="0" xfId="0" applyNumberFormat="1"/>
    <xf numFmtId="43" fontId="0" fillId="2" borderId="0" xfId="1" applyFont="1" applyFill="1"/>
    <xf numFmtId="0" fontId="12" fillId="2" borderId="0" xfId="0" applyFont="1" applyFill="1"/>
    <xf numFmtId="10" fontId="0" fillId="2" borderId="0" xfId="2" applyNumberFormat="1" applyFont="1" applyFill="1"/>
    <xf numFmtId="9" fontId="0" fillId="2" borderId="0" xfId="0" applyNumberFormat="1" applyFill="1"/>
    <xf numFmtId="0" fontId="13" fillId="3" borderId="1" xfId="0" applyFont="1" applyFill="1" applyBorder="1" applyAlignment="1">
      <alignment horizontal="left" vertical="center"/>
    </xf>
    <xf numFmtId="43" fontId="13" fillId="3" borderId="1" xfId="0" applyNumberFormat="1" applyFont="1" applyFill="1" applyBorder="1" applyAlignment="1">
      <alignment horizontal="center" vertical="center"/>
    </xf>
    <xf numFmtId="43" fontId="13" fillId="3" borderId="0" xfId="2" applyNumberFormat="1" applyFont="1" applyFill="1"/>
    <xf numFmtId="43" fontId="13" fillId="3" borderId="2" xfId="0" applyNumberFormat="1" applyFont="1" applyFill="1" applyBorder="1"/>
    <xf numFmtId="10" fontId="13" fillId="3" borderId="0" xfId="2" applyNumberFormat="1" applyFont="1" applyFill="1"/>
    <xf numFmtId="0" fontId="3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9526</xdr:rowOff>
    </xdr:from>
    <xdr:to>
      <xdr:col>1</xdr:col>
      <xdr:colOff>733426</xdr:colOff>
      <xdr:row>3</xdr:row>
      <xdr:rowOff>120170</xdr:rowOff>
    </xdr:to>
    <xdr:pic>
      <xdr:nvPicPr>
        <xdr:cNvPr id="2" name="Imagem 1" descr="Símbolos Municipais - PREFEITURA DE LEOBERTO LEAL">
          <a:extLst>
            <a:ext uri="{FF2B5EF4-FFF2-40B4-BE49-F238E27FC236}">
              <a16:creationId xmlns:a16="http://schemas.microsoft.com/office/drawing/2014/main" id="{FA7D5F41-3096-4DC6-A42D-F0C8CEB2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6"/>
          <a:ext cx="695326" cy="7964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304800</xdr:colOff>
      <xdr:row>1</xdr:row>
      <xdr:rowOff>114300</xdr:rowOff>
    </xdr:to>
    <xdr:sp macro="" textlink="">
      <xdr:nvSpPr>
        <xdr:cNvPr id="1025" name="AutoShape 1" descr="DEFESA CIVIL Logo PNG Vector (CDR) Free Download">
          <a:extLst>
            <a:ext uri="{FF2B5EF4-FFF2-40B4-BE49-F238E27FC236}">
              <a16:creationId xmlns:a16="http://schemas.microsoft.com/office/drawing/2014/main" id="{A8C52396-7964-FA59-3636-580199898303}"/>
            </a:ext>
          </a:extLst>
        </xdr:cNvPr>
        <xdr:cNvSpPr>
          <a:spLocks noChangeAspect="1" noChangeArrowheads="1"/>
        </xdr:cNvSpPr>
      </xdr:nvSpPr>
      <xdr:spPr bwMode="auto">
        <a:xfrm>
          <a:off x="66579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514350</xdr:colOff>
      <xdr:row>0</xdr:row>
      <xdr:rowOff>1</xdr:rowOff>
    </xdr:from>
    <xdr:to>
      <xdr:col>10</xdr:col>
      <xdr:colOff>38100</xdr:colOff>
      <xdr:row>4</xdr:row>
      <xdr:rowOff>38101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1BFBCF-57CF-027F-CF6F-16CA83DA2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3475" y="1"/>
          <a:ext cx="914400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542925</xdr:colOff>
      <xdr:row>2</xdr:row>
      <xdr:rowOff>46469</xdr:rowOff>
    </xdr:to>
    <xdr:pic>
      <xdr:nvPicPr>
        <xdr:cNvPr id="2" name="Imagem 1" descr="Símbolos Municipais - PREFEITURA DE LEOBERTO LEAL">
          <a:extLst>
            <a:ext uri="{FF2B5EF4-FFF2-40B4-BE49-F238E27FC236}">
              <a16:creationId xmlns:a16="http://schemas.microsoft.com/office/drawing/2014/main" id="{5426D1CF-9D60-4E62-9E31-0AF5B6CC5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457200" cy="5417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209549</xdr:colOff>
      <xdr:row>0</xdr:row>
      <xdr:rowOff>0</xdr:rowOff>
    </xdr:from>
    <xdr:to>
      <xdr:col>11</xdr:col>
      <xdr:colOff>19049</xdr:colOff>
      <xdr:row>3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32AB976-FCCE-46A0-8D55-2687240F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4" y="0"/>
          <a:ext cx="695325" cy="695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542925</xdr:colOff>
      <xdr:row>2</xdr:row>
      <xdr:rowOff>46469</xdr:rowOff>
    </xdr:to>
    <xdr:pic>
      <xdr:nvPicPr>
        <xdr:cNvPr id="2" name="Imagem 1" descr="Símbolos Municipais - PREFEITURA DE LEOBERTO LEAL">
          <a:extLst>
            <a:ext uri="{FF2B5EF4-FFF2-40B4-BE49-F238E27FC236}">
              <a16:creationId xmlns:a16="http://schemas.microsoft.com/office/drawing/2014/main" id="{0B03A5A4-6A61-4F27-ADB3-7F593D9BD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"/>
          <a:ext cx="457200" cy="5417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742949</xdr:colOff>
      <xdr:row>0</xdr:row>
      <xdr:rowOff>19050</xdr:rowOff>
    </xdr:from>
    <xdr:to>
      <xdr:col>9</xdr:col>
      <xdr:colOff>666749</xdr:colOff>
      <xdr:row>3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F9FACC-89A4-4B69-AFAB-3F0C0CD5C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4874" y="19050"/>
          <a:ext cx="695325" cy="6953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DFF4-BC95-408C-8DF3-50C4112A30BC}">
  <dimension ref="A1:L69"/>
  <sheetViews>
    <sheetView tabSelected="1" view="pageBreakPreview" topLeftCell="A8" zoomScaleNormal="100" zoomScaleSheetLayoutView="100" workbookViewId="0">
      <selection activeCell="X66" sqref="X66"/>
    </sheetView>
  </sheetViews>
  <sheetFormatPr defaultRowHeight="15" x14ac:dyDescent="0.25"/>
  <cols>
    <col min="2" max="2" width="11.5703125" style="1" customWidth="1"/>
    <col min="3" max="3" width="61.7109375" style="2" customWidth="1"/>
    <col min="4" max="4" width="9.140625" style="6"/>
    <col min="5" max="5" width="9.5703125" style="4" bestFit="1" customWidth="1"/>
    <col min="6" max="6" width="11.42578125" style="4" customWidth="1"/>
    <col min="7" max="7" width="8.28515625" style="4" hidden="1" customWidth="1"/>
    <col min="8" max="8" width="11" style="4" bestFit="1" customWidth="1"/>
    <col min="9" max="9" width="10.42578125" style="4" hidden="1" customWidth="1"/>
    <col min="10" max="10" width="13.140625" style="4" customWidth="1"/>
    <col min="12" max="12" width="11.5703125" bestFit="1" customWidth="1"/>
  </cols>
  <sheetData>
    <row r="1" spans="1:10" x14ac:dyDescent="0.25">
      <c r="B1"/>
      <c r="C1" s="7" t="s">
        <v>62</v>
      </c>
      <c r="D1" s="8"/>
      <c r="E1" s="6"/>
      <c r="G1" s="1"/>
      <c r="H1"/>
      <c r="I1" s="1"/>
      <c r="J1" s="1"/>
    </row>
    <row r="2" spans="1:10" ht="24" x14ac:dyDescent="0.4">
      <c r="B2"/>
      <c r="C2" s="9" t="s">
        <v>63</v>
      </c>
      <c r="D2" s="8"/>
      <c r="E2" s="6"/>
      <c r="G2" s="1"/>
      <c r="H2" s="1"/>
      <c r="I2" s="1"/>
      <c r="J2" s="1"/>
    </row>
    <row r="3" spans="1:10" x14ac:dyDescent="0.25">
      <c r="B3"/>
      <c r="C3" s="10"/>
      <c r="D3" s="8"/>
      <c r="E3" s="6"/>
      <c r="G3" s="1"/>
      <c r="H3" s="1"/>
      <c r="I3" s="1"/>
      <c r="J3" s="1"/>
    </row>
    <row r="4" spans="1:10" x14ac:dyDescent="0.25">
      <c r="B4"/>
      <c r="C4" s="10"/>
      <c r="D4" s="8"/>
      <c r="E4" s="6"/>
      <c r="G4" s="1"/>
      <c r="H4" s="1"/>
      <c r="I4" s="1"/>
      <c r="J4" s="1"/>
    </row>
    <row r="5" spans="1:10" ht="14.25" customHeight="1" x14ac:dyDescent="0.25">
      <c r="B5" t="s">
        <v>64</v>
      </c>
      <c r="C5" s="11" t="s">
        <v>67</v>
      </c>
      <c r="D5" s="12"/>
      <c r="E5" s="12"/>
      <c r="F5" s="12"/>
      <c r="G5" s="12"/>
      <c r="H5" s="12"/>
      <c r="I5" s="1"/>
      <c r="J5" s="1"/>
    </row>
    <row r="6" spans="1:10" x14ac:dyDescent="0.25">
      <c r="B6" t="s">
        <v>65</v>
      </c>
      <c r="C6" s="7" t="s">
        <v>68</v>
      </c>
      <c r="D6" s="8"/>
      <c r="E6" s="6"/>
      <c r="G6" s="1"/>
      <c r="H6" s="1"/>
      <c r="I6" s="1"/>
      <c r="J6" s="1"/>
    </row>
    <row r="7" spans="1:10" x14ac:dyDescent="0.25">
      <c r="B7"/>
      <c r="C7" s="7" t="s">
        <v>69</v>
      </c>
      <c r="D7" s="8"/>
      <c r="E7" s="6"/>
      <c r="G7" s="1"/>
      <c r="H7" s="1"/>
      <c r="I7" s="1"/>
      <c r="J7" s="1"/>
    </row>
    <row r="8" spans="1:10" x14ac:dyDescent="0.25">
      <c r="B8" t="s">
        <v>66</v>
      </c>
      <c r="C8" s="13">
        <v>0.24299999999999999</v>
      </c>
      <c r="D8" s="8"/>
      <c r="E8" s="6"/>
      <c r="G8" s="1"/>
      <c r="H8" s="1"/>
      <c r="I8" s="1"/>
      <c r="J8" s="1"/>
    </row>
    <row r="10" spans="1:10" x14ac:dyDescent="0.25">
      <c r="A10" s="14" t="s">
        <v>71</v>
      </c>
      <c r="B10" s="14" t="s">
        <v>54</v>
      </c>
      <c r="C10" s="15" t="s">
        <v>55</v>
      </c>
      <c r="D10" s="16" t="s">
        <v>56</v>
      </c>
      <c r="E10" s="17" t="s">
        <v>57</v>
      </c>
      <c r="F10" s="17" t="s">
        <v>58</v>
      </c>
      <c r="G10" s="17" t="s">
        <v>59</v>
      </c>
      <c r="H10" s="17" t="s">
        <v>60</v>
      </c>
      <c r="I10" s="17" t="s">
        <v>25</v>
      </c>
      <c r="J10" s="17" t="s">
        <v>61</v>
      </c>
    </row>
    <row r="11" spans="1:10" x14ac:dyDescent="0.25">
      <c r="A11" s="14">
        <v>1</v>
      </c>
      <c r="B11" s="14"/>
      <c r="C11" s="15" t="s">
        <v>72</v>
      </c>
      <c r="D11" s="16"/>
      <c r="E11" s="17"/>
      <c r="F11" s="17"/>
      <c r="G11" s="17"/>
      <c r="H11" s="17"/>
      <c r="I11" s="17"/>
      <c r="J11" s="17">
        <f>J12+J13</f>
        <v>3990.98</v>
      </c>
    </row>
    <row r="12" spans="1:10" ht="27" x14ac:dyDescent="0.25">
      <c r="A12" s="14" t="s">
        <v>73</v>
      </c>
      <c r="B12" s="32">
        <v>103689</v>
      </c>
      <c r="C12" s="33" t="s">
        <v>120</v>
      </c>
      <c r="D12" s="34" t="s">
        <v>1</v>
      </c>
      <c r="E12" s="35">
        <v>6</v>
      </c>
      <c r="F12" s="35">
        <v>463.66</v>
      </c>
      <c r="G12" s="35">
        <f>G13</f>
        <v>1.2430000000000001</v>
      </c>
      <c r="H12" s="22">
        <f>ROUND(G12*F12,2)</f>
        <v>576.33000000000004</v>
      </c>
      <c r="I12" s="22">
        <v>650</v>
      </c>
      <c r="J12" s="21">
        <f>ROUND(E12*H12,2)</f>
        <v>3457.98</v>
      </c>
    </row>
    <row r="13" spans="1:10" ht="45" x14ac:dyDescent="0.25">
      <c r="A13" s="18" t="s">
        <v>74</v>
      </c>
      <c r="B13" s="18">
        <v>98525</v>
      </c>
      <c r="C13" s="19" t="s">
        <v>0</v>
      </c>
      <c r="D13" s="20" t="s">
        <v>1</v>
      </c>
      <c r="E13" s="21">
        <f>I13</f>
        <v>650</v>
      </c>
      <c r="F13" s="21">
        <v>0.66</v>
      </c>
      <c r="G13" s="21">
        <f>1.243</f>
        <v>1.2430000000000001</v>
      </c>
      <c r="H13" s="21">
        <f>ROUND(G13*F13,2)</f>
        <v>0.82</v>
      </c>
      <c r="I13" s="21">
        <v>650</v>
      </c>
      <c r="J13" s="21">
        <f>ROUND(E13*H13,2)</f>
        <v>533</v>
      </c>
    </row>
    <row r="14" spans="1:10" x14ac:dyDescent="0.25">
      <c r="A14" s="18"/>
      <c r="B14" s="18"/>
      <c r="C14" s="19"/>
      <c r="D14" s="20"/>
      <c r="E14" s="21"/>
      <c r="F14" s="21"/>
      <c r="G14" s="21"/>
      <c r="H14" s="21"/>
      <c r="I14" s="21"/>
      <c r="J14" s="21"/>
    </row>
    <row r="15" spans="1:10" s="5" customFormat="1" x14ac:dyDescent="0.25">
      <c r="A15" s="27">
        <v>2</v>
      </c>
      <c r="B15" s="27"/>
      <c r="C15" s="28" t="s">
        <v>75</v>
      </c>
      <c r="D15" s="29"/>
      <c r="E15" s="30"/>
      <c r="F15" s="30"/>
      <c r="G15" s="30"/>
      <c r="H15" s="30"/>
      <c r="I15" s="30"/>
      <c r="J15" s="30">
        <f>SUM(J16:J24)</f>
        <v>120220.7</v>
      </c>
    </row>
    <row r="16" spans="1:10" ht="75" x14ac:dyDescent="0.25">
      <c r="A16" s="18" t="s">
        <v>76</v>
      </c>
      <c r="B16" s="18">
        <v>105564</v>
      </c>
      <c r="C16" s="19" t="s">
        <v>4</v>
      </c>
      <c r="D16" s="20" t="s">
        <v>3</v>
      </c>
      <c r="E16" s="21">
        <f>I16-E17</f>
        <v>370</v>
      </c>
      <c r="F16" s="21">
        <v>6.35</v>
      </c>
      <c r="G16" s="21">
        <f>G13</f>
        <v>1.2430000000000001</v>
      </c>
      <c r="H16" s="21">
        <f t="shared" ref="H16:H58" si="0">ROUND(G16*F16,2)</f>
        <v>7.89</v>
      </c>
      <c r="I16" s="21">
        <v>850</v>
      </c>
      <c r="J16" s="21">
        <f t="shared" ref="J16:J24" si="1">ROUND(E16*H16,2)</f>
        <v>2919.3</v>
      </c>
    </row>
    <row r="17" spans="1:10" ht="60" x14ac:dyDescent="0.25">
      <c r="A17" s="18" t="s">
        <v>77</v>
      </c>
      <c r="B17" s="18">
        <v>105560</v>
      </c>
      <c r="C17" s="19" t="s">
        <v>2</v>
      </c>
      <c r="D17" s="20" t="s">
        <v>3</v>
      </c>
      <c r="E17" s="21">
        <f t="shared" ref="E17:E22" si="2">I17</f>
        <v>480</v>
      </c>
      <c r="F17" s="21">
        <v>12.89</v>
      </c>
      <c r="G17" s="21">
        <f t="shared" ref="G17:G58" si="3">G16</f>
        <v>1.2430000000000001</v>
      </c>
      <c r="H17" s="21">
        <f t="shared" si="0"/>
        <v>16.02</v>
      </c>
      <c r="I17" s="21">
        <f>100*0.6*8</f>
        <v>480</v>
      </c>
      <c r="J17" s="21">
        <f t="shared" si="1"/>
        <v>7689.6</v>
      </c>
    </row>
    <row r="18" spans="1:10" ht="60" x14ac:dyDescent="0.25">
      <c r="A18" s="18" t="s">
        <v>78</v>
      </c>
      <c r="B18" s="18">
        <v>100978</v>
      </c>
      <c r="C18" s="19" t="s">
        <v>8</v>
      </c>
      <c r="D18" s="20" t="s">
        <v>3</v>
      </c>
      <c r="E18" s="21">
        <f t="shared" si="2"/>
        <v>850</v>
      </c>
      <c r="F18" s="21">
        <v>7.39</v>
      </c>
      <c r="G18" s="21">
        <f t="shared" si="3"/>
        <v>1.2430000000000001</v>
      </c>
      <c r="H18" s="21">
        <f t="shared" si="0"/>
        <v>9.19</v>
      </c>
      <c r="I18" s="21">
        <f>I16</f>
        <v>850</v>
      </c>
      <c r="J18" s="21">
        <f t="shared" si="1"/>
        <v>7811.5</v>
      </c>
    </row>
    <row r="19" spans="1:10" ht="60" x14ac:dyDescent="0.25">
      <c r="A19" s="18" t="s">
        <v>79</v>
      </c>
      <c r="B19" s="18">
        <v>93588</v>
      </c>
      <c r="C19" s="19" t="s">
        <v>6</v>
      </c>
      <c r="D19" s="20" t="s">
        <v>7</v>
      </c>
      <c r="E19" s="21">
        <f t="shared" si="2"/>
        <v>4250</v>
      </c>
      <c r="F19" s="21">
        <v>2.1</v>
      </c>
      <c r="G19" s="21">
        <f t="shared" si="3"/>
        <v>1.2430000000000001</v>
      </c>
      <c r="H19" s="21">
        <f t="shared" si="0"/>
        <v>2.61</v>
      </c>
      <c r="I19" s="21">
        <f>850*5</f>
        <v>4250</v>
      </c>
      <c r="J19" s="21">
        <f t="shared" si="1"/>
        <v>11092.5</v>
      </c>
    </row>
    <row r="20" spans="1:10" ht="75" x14ac:dyDescent="0.25">
      <c r="A20" s="18" t="s">
        <v>80</v>
      </c>
      <c r="B20" s="18">
        <v>101266</v>
      </c>
      <c r="C20" s="19" t="s">
        <v>5</v>
      </c>
      <c r="D20" s="20" t="s">
        <v>3</v>
      </c>
      <c r="E20" s="21">
        <f t="shared" si="2"/>
        <v>160</v>
      </c>
      <c r="F20" s="21">
        <v>12.01</v>
      </c>
      <c r="G20" s="21">
        <f t="shared" si="3"/>
        <v>1.2430000000000001</v>
      </c>
      <c r="H20" s="21">
        <f t="shared" si="0"/>
        <v>14.93</v>
      </c>
      <c r="I20" s="21">
        <f>8*5*4</f>
        <v>160</v>
      </c>
      <c r="J20" s="21">
        <f t="shared" si="1"/>
        <v>2388.8000000000002</v>
      </c>
    </row>
    <row r="21" spans="1:10" ht="60" x14ac:dyDescent="0.25">
      <c r="A21" s="18" t="s">
        <v>81</v>
      </c>
      <c r="B21" s="18">
        <v>100978</v>
      </c>
      <c r="C21" s="19" t="s">
        <v>8</v>
      </c>
      <c r="D21" s="20" t="s">
        <v>3</v>
      </c>
      <c r="E21" s="21">
        <f t="shared" si="2"/>
        <v>160</v>
      </c>
      <c r="F21" s="21">
        <v>7.39</v>
      </c>
      <c r="G21" s="21">
        <f t="shared" si="3"/>
        <v>1.2430000000000001</v>
      </c>
      <c r="H21" s="21">
        <f t="shared" si="0"/>
        <v>9.19</v>
      </c>
      <c r="I21" s="21">
        <f>I20</f>
        <v>160</v>
      </c>
      <c r="J21" s="21">
        <f t="shared" si="1"/>
        <v>1470.4</v>
      </c>
    </row>
    <row r="22" spans="1:10" ht="60" x14ac:dyDescent="0.25">
      <c r="A22" s="18" t="s">
        <v>82</v>
      </c>
      <c r="B22" s="18">
        <v>93588</v>
      </c>
      <c r="C22" s="19" t="s">
        <v>6</v>
      </c>
      <c r="D22" s="20" t="s">
        <v>7</v>
      </c>
      <c r="E22" s="21">
        <f t="shared" si="2"/>
        <v>160</v>
      </c>
      <c r="F22" s="21">
        <v>3.27</v>
      </c>
      <c r="G22" s="21">
        <f t="shared" si="3"/>
        <v>1.2430000000000001</v>
      </c>
      <c r="H22" s="21">
        <f t="shared" si="0"/>
        <v>4.0599999999999996</v>
      </c>
      <c r="I22" s="21">
        <f>I21</f>
        <v>160</v>
      </c>
      <c r="J22" s="21">
        <f t="shared" si="1"/>
        <v>649.6</v>
      </c>
    </row>
    <row r="23" spans="1:10" ht="45" x14ac:dyDescent="0.25">
      <c r="A23" s="18" t="s">
        <v>83</v>
      </c>
      <c r="B23" s="18">
        <v>92757</v>
      </c>
      <c r="C23" s="19" t="s">
        <v>48</v>
      </c>
      <c r="D23" s="20" t="s">
        <v>21</v>
      </c>
      <c r="E23" s="21">
        <f>20*5*2</f>
        <v>200</v>
      </c>
      <c r="F23" s="21">
        <v>336.66</v>
      </c>
      <c r="G23" s="21">
        <v>1.2430000000000001</v>
      </c>
      <c r="H23" s="21">
        <f t="shared" ref="H23" si="4">ROUND(G23*F23,2)</f>
        <v>418.47</v>
      </c>
      <c r="I23" s="21">
        <f>I22</f>
        <v>160</v>
      </c>
      <c r="J23" s="21">
        <f t="shared" si="1"/>
        <v>83694</v>
      </c>
    </row>
    <row r="24" spans="1:10" ht="45" x14ac:dyDescent="0.25">
      <c r="A24" s="18" t="s">
        <v>84</v>
      </c>
      <c r="B24" s="18">
        <v>105597</v>
      </c>
      <c r="C24" s="19" t="s">
        <v>46</v>
      </c>
      <c r="D24" s="20" t="s">
        <v>24</v>
      </c>
      <c r="E24" s="22">
        <v>500</v>
      </c>
      <c r="F24" s="21">
        <v>4.03</v>
      </c>
      <c r="G24" s="21">
        <f>G22</f>
        <v>1.2430000000000001</v>
      </c>
      <c r="H24" s="21">
        <f t="shared" ref="H24" si="5">ROUND(G24*F24,2)</f>
        <v>5.01</v>
      </c>
      <c r="I24" s="21"/>
      <c r="J24" s="21">
        <f t="shared" si="1"/>
        <v>2505</v>
      </c>
    </row>
    <row r="25" spans="1:10" x14ac:dyDescent="0.25">
      <c r="A25" s="18"/>
      <c r="B25" s="18"/>
      <c r="C25" s="19"/>
      <c r="D25" s="20"/>
      <c r="E25" s="21"/>
      <c r="F25" s="21"/>
      <c r="G25" s="21"/>
      <c r="H25" s="21"/>
      <c r="I25" s="21"/>
      <c r="J25" s="21"/>
    </row>
    <row r="26" spans="1:10" s="5" customFormat="1" x14ac:dyDescent="0.25">
      <c r="A26" s="27">
        <v>3</v>
      </c>
      <c r="B26" s="27"/>
      <c r="C26" s="28" t="s">
        <v>85</v>
      </c>
      <c r="D26" s="29"/>
      <c r="E26" s="30"/>
      <c r="F26" s="30"/>
      <c r="G26" s="30"/>
      <c r="H26" s="30"/>
      <c r="I26" s="30"/>
      <c r="J26" s="30">
        <f>J28+J32+J54</f>
        <v>332862.93999999994</v>
      </c>
    </row>
    <row r="27" spans="1:10" s="5" customFormat="1" x14ac:dyDescent="0.25">
      <c r="A27" s="27"/>
      <c r="B27" s="27"/>
      <c r="C27" s="28"/>
      <c r="D27" s="29"/>
      <c r="E27" s="30"/>
      <c r="F27" s="30"/>
      <c r="G27" s="30"/>
      <c r="H27" s="30"/>
      <c r="I27" s="30"/>
      <c r="J27" s="30"/>
    </row>
    <row r="28" spans="1:10" x14ac:dyDescent="0.25">
      <c r="A28" s="18" t="s">
        <v>86</v>
      </c>
      <c r="B28" s="18"/>
      <c r="C28" s="23" t="s">
        <v>13</v>
      </c>
      <c r="D28" s="20"/>
      <c r="E28" s="21"/>
      <c r="F28" s="21"/>
      <c r="G28" s="21"/>
      <c r="H28" s="21"/>
      <c r="I28" s="21"/>
      <c r="J28" s="30">
        <f>J29+J30</f>
        <v>27687.360000000001</v>
      </c>
    </row>
    <row r="29" spans="1:10" ht="45" x14ac:dyDescent="0.25">
      <c r="A29" s="18" t="s">
        <v>87</v>
      </c>
      <c r="B29" s="18">
        <v>103666</v>
      </c>
      <c r="C29" s="19" t="s">
        <v>9</v>
      </c>
      <c r="D29" s="20" t="s">
        <v>10</v>
      </c>
      <c r="E29" s="21">
        <f>I29*8</f>
        <v>32</v>
      </c>
      <c r="F29" s="21">
        <v>138.80000000000001</v>
      </c>
      <c r="G29" s="21">
        <f>G24</f>
        <v>1.2430000000000001</v>
      </c>
      <c r="H29" s="21">
        <f t="shared" si="0"/>
        <v>172.53</v>
      </c>
      <c r="I29" s="21">
        <v>4</v>
      </c>
      <c r="J29" s="21">
        <f>ROUND(E29*H29,2)</f>
        <v>5520.96</v>
      </c>
    </row>
    <row r="30" spans="1:10" ht="45" x14ac:dyDescent="0.25">
      <c r="A30" s="18" t="s">
        <v>88</v>
      </c>
      <c r="B30" s="18">
        <v>100658</v>
      </c>
      <c r="C30" s="19" t="s">
        <v>11</v>
      </c>
      <c r="D30" s="20" t="s">
        <v>12</v>
      </c>
      <c r="E30" s="21">
        <f>I30*8</f>
        <v>48</v>
      </c>
      <c r="F30" s="21">
        <v>371.52</v>
      </c>
      <c r="G30" s="21">
        <f t="shared" si="3"/>
        <v>1.2430000000000001</v>
      </c>
      <c r="H30" s="21">
        <f t="shared" si="0"/>
        <v>461.8</v>
      </c>
      <c r="I30" s="21">
        <v>6</v>
      </c>
      <c r="J30" s="21">
        <f>ROUND(E30*H30,2)</f>
        <v>22166.400000000001</v>
      </c>
    </row>
    <row r="31" spans="1:10" x14ac:dyDescent="0.25">
      <c r="A31" s="18"/>
      <c r="B31" s="18"/>
      <c r="C31" s="19"/>
      <c r="D31" s="20"/>
      <c r="E31" s="21"/>
      <c r="F31" s="21"/>
      <c r="G31" s="21"/>
      <c r="H31" s="21"/>
      <c r="I31" s="21"/>
      <c r="J31" s="21"/>
    </row>
    <row r="32" spans="1:10" x14ac:dyDescent="0.25">
      <c r="A32" s="18" t="s">
        <v>89</v>
      </c>
      <c r="B32" s="18"/>
      <c r="C32" s="23" t="s">
        <v>14</v>
      </c>
      <c r="D32" s="20"/>
      <c r="E32" s="21"/>
      <c r="F32" s="21"/>
      <c r="G32" s="21"/>
      <c r="H32" s="21"/>
      <c r="I32" s="21"/>
      <c r="J32" s="30">
        <f>SUM(J33:J52)</f>
        <v>264740.86</v>
      </c>
    </row>
    <row r="33" spans="1:10" ht="30" x14ac:dyDescent="0.25">
      <c r="A33" s="18" t="s">
        <v>90</v>
      </c>
      <c r="B33" s="18">
        <v>100343</v>
      </c>
      <c r="C33" s="24" t="s">
        <v>15</v>
      </c>
      <c r="D33" s="20" t="s">
        <v>16</v>
      </c>
      <c r="E33" s="21">
        <f t="shared" ref="E33:E39" si="6">I33*2</f>
        <v>906.56</v>
      </c>
      <c r="F33" s="21">
        <v>14.76</v>
      </c>
      <c r="G33" s="21">
        <f>G30</f>
        <v>1.2430000000000001</v>
      </c>
      <c r="H33" s="21">
        <f t="shared" si="0"/>
        <v>18.350000000000001</v>
      </c>
      <c r="I33" s="21">
        <v>453.28</v>
      </c>
      <c r="J33" s="21">
        <f t="shared" ref="J33:J39" si="7">ROUND(E33*H33,2)</f>
        <v>16635.38</v>
      </c>
    </row>
    <row r="34" spans="1:10" ht="30" x14ac:dyDescent="0.25">
      <c r="A34" s="18" t="s">
        <v>91</v>
      </c>
      <c r="B34" s="18">
        <v>100345</v>
      </c>
      <c r="C34" s="24" t="s">
        <v>17</v>
      </c>
      <c r="D34" s="20" t="s">
        <v>16</v>
      </c>
      <c r="E34" s="21">
        <f t="shared" si="6"/>
        <v>738.14</v>
      </c>
      <c r="F34" s="21">
        <v>9.1</v>
      </c>
      <c r="G34" s="21">
        <f t="shared" si="3"/>
        <v>1.2430000000000001</v>
      </c>
      <c r="H34" s="21">
        <f t="shared" si="0"/>
        <v>11.31</v>
      </c>
      <c r="I34" s="21">
        <v>369.07</v>
      </c>
      <c r="J34" s="21">
        <f t="shared" si="7"/>
        <v>8348.36</v>
      </c>
    </row>
    <row r="35" spans="1:10" ht="45" x14ac:dyDescent="0.25">
      <c r="A35" s="18" t="s">
        <v>92</v>
      </c>
      <c r="B35" s="18">
        <v>100346</v>
      </c>
      <c r="C35" s="24" t="s">
        <v>18</v>
      </c>
      <c r="D35" s="20" t="s">
        <v>16</v>
      </c>
      <c r="E35" s="21">
        <f t="shared" si="6"/>
        <v>220.18</v>
      </c>
      <c r="F35" s="21">
        <v>8.6300000000000008</v>
      </c>
      <c r="G35" s="21">
        <f t="shared" si="3"/>
        <v>1.2430000000000001</v>
      </c>
      <c r="H35" s="21">
        <f t="shared" si="0"/>
        <v>10.73</v>
      </c>
      <c r="I35" s="21">
        <v>110.09</v>
      </c>
      <c r="J35" s="21">
        <f t="shared" si="7"/>
        <v>2362.5300000000002</v>
      </c>
    </row>
    <row r="36" spans="1:10" ht="30" x14ac:dyDescent="0.25">
      <c r="A36" s="18" t="s">
        <v>93</v>
      </c>
      <c r="B36" s="18">
        <v>100347</v>
      </c>
      <c r="C36" s="24" t="s">
        <v>19</v>
      </c>
      <c r="D36" s="20" t="s">
        <v>16</v>
      </c>
      <c r="E36" s="21">
        <f t="shared" si="6"/>
        <v>2537.96</v>
      </c>
      <c r="F36" s="21">
        <v>9.61</v>
      </c>
      <c r="G36" s="21">
        <f t="shared" si="3"/>
        <v>1.2430000000000001</v>
      </c>
      <c r="H36" s="21">
        <f t="shared" si="0"/>
        <v>11.95</v>
      </c>
      <c r="I36" s="21">
        <v>1268.98</v>
      </c>
      <c r="J36" s="21">
        <f t="shared" si="7"/>
        <v>30328.62</v>
      </c>
    </row>
    <row r="37" spans="1:10" ht="30" x14ac:dyDescent="0.25">
      <c r="A37" s="18" t="s">
        <v>94</v>
      </c>
      <c r="B37" s="18">
        <v>100348</v>
      </c>
      <c r="C37" s="24" t="s">
        <v>20</v>
      </c>
      <c r="D37" s="20" t="s">
        <v>16</v>
      </c>
      <c r="E37" s="21">
        <f t="shared" si="6"/>
        <v>1309.4000000000001</v>
      </c>
      <c r="F37" s="21">
        <v>9.41</v>
      </c>
      <c r="G37" s="21">
        <f t="shared" si="3"/>
        <v>1.2430000000000001</v>
      </c>
      <c r="H37" s="21">
        <f t="shared" si="0"/>
        <v>11.7</v>
      </c>
      <c r="I37" s="21">
        <v>654.70000000000005</v>
      </c>
      <c r="J37" s="21">
        <f t="shared" si="7"/>
        <v>15319.98</v>
      </c>
    </row>
    <row r="38" spans="1:10" ht="30" x14ac:dyDescent="0.25">
      <c r="A38" s="18" t="s">
        <v>95</v>
      </c>
      <c r="B38" s="18">
        <v>100349</v>
      </c>
      <c r="C38" s="19" t="s">
        <v>22</v>
      </c>
      <c r="D38" s="20" t="s">
        <v>21</v>
      </c>
      <c r="E38" s="21">
        <f t="shared" si="6"/>
        <v>41.2</v>
      </c>
      <c r="F38" s="21">
        <v>774.67</v>
      </c>
      <c r="G38" s="21">
        <f t="shared" si="3"/>
        <v>1.2430000000000001</v>
      </c>
      <c r="H38" s="21">
        <f t="shared" si="0"/>
        <v>962.91</v>
      </c>
      <c r="I38" s="21">
        <v>20.6</v>
      </c>
      <c r="J38" s="21">
        <f t="shared" si="7"/>
        <v>39671.89</v>
      </c>
    </row>
    <row r="39" spans="1:10" ht="45" x14ac:dyDescent="0.25">
      <c r="A39" s="18" t="s">
        <v>96</v>
      </c>
      <c r="B39" s="18">
        <v>100341</v>
      </c>
      <c r="C39" s="19" t="s">
        <v>23</v>
      </c>
      <c r="D39" s="20" t="s">
        <v>24</v>
      </c>
      <c r="E39" s="21">
        <f t="shared" si="6"/>
        <v>92</v>
      </c>
      <c r="F39" s="21">
        <v>50.96</v>
      </c>
      <c r="G39" s="21">
        <f t="shared" si="3"/>
        <v>1.2430000000000001</v>
      </c>
      <c r="H39" s="21">
        <f t="shared" si="0"/>
        <v>63.34</v>
      </c>
      <c r="I39" s="21">
        <f>15+31</f>
        <v>46</v>
      </c>
      <c r="J39" s="21">
        <f t="shared" si="7"/>
        <v>5827.28</v>
      </c>
    </row>
    <row r="40" spans="1:10" x14ac:dyDescent="0.25">
      <c r="A40" s="18" t="s">
        <v>97</v>
      </c>
      <c r="B40" s="18"/>
      <c r="C40" s="25" t="s">
        <v>26</v>
      </c>
      <c r="D40" s="20"/>
      <c r="E40" s="21"/>
      <c r="F40" s="21"/>
      <c r="G40" s="21"/>
      <c r="H40" s="21"/>
      <c r="I40" s="21"/>
      <c r="J40" s="21"/>
    </row>
    <row r="41" spans="1:10" ht="45" x14ac:dyDescent="0.25">
      <c r="A41" s="18" t="s">
        <v>98</v>
      </c>
      <c r="B41" s="18">
        <v>104916</v>
      </c>
      <c r="C41" s="19" t="s">
        <v>27</v>
      </c>
      <c r="D41" s="20" t="s">
        <v>16</v>
      </c>
      <c r="E41" s="21">
        <f t="shared" ref="E41:E50" si="8">I41*8</f>
        <v>146</v>
      </c>
      <c r="F41" s="21">
        <v>16.899999999999999</v>
      </c>
      <c r="G41" s="21">
        <f>G39</f>
        <v>1.2430000000000001</v>
      </c>
      <c r="H41" s="21">
        <f t="shared" si="0"/>
        <v>21.01</v>
      </c>
      <c r="I41" s="21">
        <v>18.25</v>
      </c>
      <c r="J41" s="21">
        <f t="shared" ref="J41:J52" si="9">ROUND(E41*H41,2)</f>
        <v>3067.46</v>
      </c>
    </row>
    <row r="42" spans="1:10" ht="30" x14ac:dyDescent="0.25">
      <c r="A42" s="18" t="s">
        <v>99</v>
      </c>
      <c r="B42" s="18">
        <v>104917</v>
      </c>
      <c r="C42" s="19" t="s">
        <v>28</v>
      </c>
      <c r="D42" s="20" t="s">
        <v>16</v>
      </c>
      <c r="E42" s="21">
        <f t="shared" si="8"/>
        <v>141.12</v>
      </c>
      <c r="F42" s="21">
        <v>15.27</v>
      </c>
      <c r="G42" s="21">
        <f t="shared" si="3"/>
        <v>1.2430000000000001</v>
      </c>
      <c r="H42" s="21">
        <f t="shared" si="0"/>
        <v>18.98</v>
      </c>
      <c r="I42" s="21">
        <v>17.64</v>
      </c>
      <c r="J42" s="21">
        <f t="shared" si="9"/>
        <v>2678.46</v>
      </c>
    </row>
    <row r="43" spans="1:10" ht="30" x14ac:dyDescent="0.25">
      <c r="A43" s="18" t="s">
        <v>100</v>
      </c>
      <c r="B43" s="18">
        <v>104918</v>
      </c>
      <c r="C43" s="19" t="s">
        <v>29</v>
      </c>
      <c r="D43" s="20" t="s">
        <v>16</v>
      </c>
      <c r="E43" s="21">
        <f t="shared" si="8"/>
        <v>771.52</v>
      </c>
      <c r="F43" s="21">
        <v>13.86</v>
      </c>
      <c r="G43" s="21">
        <f t="shared" si="3"/>
        <v>1.2430000000000001</v>
      </c>
      <c r="H43" s="21">
        <f t="shared" si="0"/>
        <v>17.23</v>
      </c>
      <c r="I43" s="21">
        <v>96.44</v>
      </c>
      <c r="J43" s="21">
        <f t="shared" si="9"/>
        <v>13293.29</v>
      </c>
    </row>
    <row r="44" spans="1:10" ht="60" x14ac:dyDescent="0.25">
      <c r="A44" s="18" t="s">
        <v>101</v>
      </c>
      <c r="B44" s="18">
        <v>104920</v>
      </c>
      <c r="C44" s="19" t="s">
        <v>127</v>
      </c>
      <c r="D44" s="20" t="s">
        <v>16</v>
      </c>
      <c r="E44" s="21">
        <f t="shared" si="8"/>
        <v>261.36</v>
      </c>
      <c r="F44" s="21">
        <v>10.31</v>
      </c>
      <c r="G44" s="21">
        <f t="shared" si="3"/>
        <v>1.2430000000000001</v>
      </c>
      <c r="H44" s="21">
        <f t="shared" si="0"/>
        <v>12.82</v>
      </c>
      <c r="I44" s="21">
        <v>32.67</v>
      </c>
      <c r="J44" s="21">
        <f t="shared" si="9"/>
        <v>3350.64</v>
      </c>
    </row>
    <row r="45" spans="1:10" ht="45" x14ac:dyDescent="0.25">
      <c r="A45" s="18" t="s">
        <v>102</v>
      </c>
      <c r="B45" s="18">
        <v>104921</v>
      </c>
      <c r="C45" s="19" t="s">
        <v>30</v>
      </c>
      <c r="D45" s="20" t="s">
        <v>16</v>
      </c>
      <c r="E45" s="21">
        <f t="shared" si="8"/>
        <v>2965.36</v>
      </c>
      <c r="F45" s="21">
        <v>9.57</v>
      </c>
      <c r="G45" s="21">
        <f t="shared" si="3"/>
        <v>1.2430000000000001</v>
      </c>
      <c r="H45" s="21">
        <f t="shared" si="0"/>
        <v>11.9</v>
      </c>
      <c r="I45" s="21">
        <v>370.67</v>
      </c>
      <c r="J45" s="21">
        <f t="shared" si="9"/>
        <v>35287.78</v>
      </c>
    </row>
    <row r="46" spans="1:10" ht="45" x14ac:dyDescent="0.25">
      <c r="A46" s="18" t="s">
        <v>103</v>
      </c>
      <c r="B46" s="18">
        <v>104297</v>
      </c>
      <c r="C46" s="19" t="s">
        <v>31</v>
      </c>
      <c r="D46" s="20" t="s">
        <v>16</v>
      </c>
      <c r="E46" s="21">
        <f t="shared" si="8"/>
        <v>1556.32</v>
      </c>
      <c r="F46" s="21">
        <v>10.08</v>
      </c>
      <c r="G46" s="21">
        <f t="shared" si="3"/>
        <v>1.2430000000000001</v>
      </c>
      <c r="H46" s="21">
        <f t="shared" si="0"/>
        <v>12.53</v>
      </c>
      <c r="I46" s="21">
        <f>185.39+9.15</f>
        <v>194.54</v>
      </c>
      <c r="J46" s="21">
        <f t="shared" si="9"/>
        <v>19500.689999999999</v>
      </c>
    </row>
    <row r="47" spans="1:10" ht="45" x14ac:dyDescent="0.25">
      <c r="A47" s="18" t="s">
        <v>104</v>
      </c>
      <c r="B47" s="18">
        <v>4507851</v>
      </c>
      <c r="C47" s="19" t="s">
        <v>49</v>
      </c>
      <c r="D47" s="20" t="s">
        <v>32</v>
      </c>
      <c r="E47" s="21">
        <f t="shared" si="8"/>
        <v>64</v>
      </c>
      <c r="F47" s="21">
        <v>23.58</v>
      </c>
      <c r="G47" s="21">
        <f t="shared" si="3"/>
        <v>1.2430000000000001</v>
      </c>
      <c r="H47" s="21">
        <f t="shared" si="0"/>
        <v>29.31</v>
      </c>
      <c r="I47" s="21">
        <v>8</v>
      </c>
      <c r="J47" s="21">
        <f t="shared" si="9"/>
        <v>1875.84</v>
      </c>
    </row>
    <row r="48" spans="1:10" ht="45" x14ac:dyDescent="0.25">
      <c r="A48" s="18" t="s">
        <v>105</v>
      </c>
      <c r="B48" s="18">
        <v>5605956</v>
      </c>
      <c r="C48" s="26" t="s">
        <v>50</v>
      </c>
      <c r="D48" s="20" t="s">
        <v>32</v>
      </c>
      <c r="E48" s="21">
        <f t="shared" si="8"/>
        <v>8</v>
      </c>
      <c r="F48" s="21">
        <v>1035.3499999999999</v>
      </c>
      <c r="G48" s="21">
        <f t="shared" si="3"/>
        <v>1.2430000000000001</v>
      </c>
      <c r="H48" s="21">
        <f t="shared" si="0"/>
        <v>1286.94</v>
      </c>
      <c r="I48" s="21">
        <v>1</v>
      </c>
      <c r="J48" s="21">
        <f t="shared" si="9"/>
        <v>10295.52</v>
      </c>
    </row>
    <row r="49" spans="1:10" ht="45" x14ac:dyDescent="0.25">
      <c r="A49" s="18" t="s">
        <v>106</v>
      </c>
      <c r="B49" s="18">
        <v>34481</v>
      </c>
      <c r="C49" s="19" t="s">
        <v>33</v>
      </c>
      <c r="D49" s="20" t="s">
        <v>21</v>
      </c>
      <c r="E49" s="21">
        <f t="shared" si="8"/>
        <v>24.64</v>
      </c>
      <c r="F49" s="21">
        <v>743.07</v>
      </c>
      <c r="G49" s="21">
        <f t="shared" si="3"/>
        <v>1.2430000000000001</v>
      </c>
      <c r="H49" s="21">
        <f t="shared" si="0"/>
        <v>923.64</v>
      </c>
      <c r="I49" s="21">
        <f>ROUND(0.205*15,2)</f>
        <v>3.08</v>
      </c>
      <c r="J49" s="21">
        <f t="shared" si="9"/>
        <v>22758.49</v>
      </c>
    </row>
    <row r="50" spans="1:10" ht="45" x14ac:dyDescent="0.25">
      <c r="A50" s="18" t="s">
        <v>107</v>
      </c>
      <c r="B50" s="18">
        <v>96539</v>
      </c>
      <c r="C50" s="19" t="s">
        <v>34</v>
      </c>
      <c r="D50" s="20" t="s">
        <v>24</v>
      </c>
      <c r="E50" s="21">
        <f t="shared" si="8"/>
        <v>394.8</v>
      </c>
      <c r="F50" s="21">
        <f>3.29*15</f>
        <v>49.35</v>
      </c>
      <c r="G50" s="21">
        <f t="shared" si="3"/>
        <v>1.2430000000000001</v>
      </c>
      <c r="H50" s="21">
        <f t="shared" si="0"/>
        <v>61.34</v>
      </c>
      <c r="I50" s="21">
        <f>F50</f>
        <v>49.35</v>
      </c>
      <c r="J50" s="21">
        <f t="shared" si="9"/>
        <v>24217.03</v>
      </c>
    </row>
    <row r="51" spans="1:10" ht="30" x14ac:dyDescent="0.25">
      <c r="A51" s="18" t="s">
        <v>108</v>
      </c>
      <c r="B51" s="18">
        <v>307732</v>
      </c>
      <c r="C51" s="19" t="s">
        <v>53</v>
      </c>
      <c r="D51" s="20" t="s">
        <v>39</v>
      </c>
      <c r="E51" s="21">
        <f>2.52*8</f>
        <v>20.16</v>
      </c>
      <c r="F51" s="21">
        <v>125.6</v>
      </c>
      <c r="G51" s="21">
        <f>G58</f>
        <v>1.2430000000000001</v>
      </c>
      <c r="H51" s="21">
        <f>ROUND(G51*F51,2)</f>
        <v>156.12</v>
      </c>
      <c r="I51" s="21">
        <f t="shared" ref="I51:I52" si="10">F51</f>
        <v>125.6</v>
      </c>
      <c r="J51" s="21">
        <f t="shared" si="9"/>
        <v>3147.38</v>
      </c>
    </row>
    <row r="52" spans="1:10" ht="45" x14ac:dyDescent="0.25">
      <c r="A52" s="18" t="s">
        <v>109</v>
      </c>
      <c r="B52" s="18">
        <v>93287</v>
      </c>
      <c r="C52" s="19" t="s">
        <v>40</v>
      </c>
      <c r="D52" s="20" t="s">
        <v>41</v>
      </c>
      <c r="E52" s="21">
        <v>16</v>
      </c>
      <c r="F52" s="21">
        <v>340.62</v>
      </c>
      <c r="G52" s="21">
        <v>1.2430000000000001</v>
      </c>
      <c r="H52" s="21">
        <f>ROUND(G52*F52,2)</f>
        <v>423.39</v>
      </c>
      <c r="I52" s="21">
        <f t="shared" si="10"/>
        <v>340.62</v>
      </c>
      <c r="J52" s="21">
        <f t="shared" si="9"/>
        <v>6774.24</v>
      </c>
    </row>
    <row r="53" spans="1:10" x14ac:dyDescent="0.25">
      <c r="A53" s="18"/>
      <c r="B53" s="18"/>
      <c r="C53" s="19"/>
      <c r="D53" s="20"/>
      <c r="E53" s="21"/>
      <c r="F53" s="21"/>
      <c r="G53" s="21"/>
      <c r="H53" s="21"/>
      <c r="I53" s="21"/>
      <c r="J53" s="21"/>
    </row>
    <row r="54" spans="1:10" x14ac:dyDescent="0.25">
      <c r="A54" s="18" t="s">
        <v>110</v>
      </c>
      <c r="B54" s="18"/>
      <c r="C54" s="23" t="s">
        <v>47</v>
      </c>
      <c r="D54" s="20"/>
      <c r="E54" s="21"/>
      <c r="F54" s="21"/>
      <c r="G54" s="21"/>
      <c r="H54" s="21"/>
      <c r="I54" s="21"/>
      <c r="J54" s="30">
        <f>SUM(J55:J59)</f>
        <v>40434.720000000001</v>
      </c>
    </row>
    <row r="55" spans="1:10" ht="45" x14ac:dyDescent="0.25">
      <c r="A55" s="18" t="s">
        <v>111</v>
      </c>
      <c r="B55" s="18">
        <v>92916</v>
      </c>
      <c r="C55" s="19" t="s">
        <v>36</v>
      </c>
      <c r="D55" s="20" t="s">
        <v>16</v>
      </c>
      <c r="E55" s="21">
        <v>247.16</v>
      </c>
      <c r="F55" s="21">
        <v>15.09</v>
      </c>
      <c r="G55" s="21">
        <f>G52</f>
        <v>1.2430000000000001</v>
      </c>
      <c r="H55" s="21">
        <f t="shared" si="0"/>
        <v>18.760000000000002</v>
      </c>
      <c r="I55" s="21"/>
      <c r="J55" s="21">
        <f>ROUND(E55*H55,2)</f>
        <v>4636.72</v>
      </c>
    </row>
    <row r="56" spans="1:10" ht="45" x14ac:dyDescent="0.25">
      <c r="A56" s="18" t="s">
        <v>112</v>
      </c>
      <c r="B56" s="18">
        <v>92917</v>
      </c>
      <c r="C56" s="19" t="s">
        <v>37</v>
      </c>
      <c r="D56" s="20" t="s">
        <v>16</v>
      </c>
      <c r="E56" s="21">
        <v>519.27</v>
      </c>
      <c r="F56" s="21">
        <v>13.36</v>
      </c>
      <c r="G56" s="21">
        <f t="shared" si="3"/>
        <v>1.2430000000000001</v>
      </c>
      <c r="H56" s="21">
        <f t="shared" si="0"/>
        <v>16.61</v>
      </c>
      <c r="I56" s="21"/>
      <c r="J56" s="21">
        <f>ROUND(E56*H56,2)</f>
        <v>8625.07</v>
      </c>
    </row>
    <row r="57" spans="1:10" ht="45" x14ac:dyDescent="0.25">
      <c r="A57" s="18" t="s">
        <v>113</v>
      </c>
      <c r="B57" s="18">
        <v>92919</v>
      </c>
      <c r="C57" s="19" t="s">
        <v>38</v>
      </c>
      <c r="D57" s="20" t="s">
        <v>16</v>
      </c>
      <c r="E57" s="21">
        <v>457.2</v>
      </c>
      <c r="F57" s="21">
        <v>11.48</v>
      </c>
      <c r="G57" s="21">
        <f t="shared" si="3"/>
        <v>1.2430000000000001</v>
      </c>
      <c r="H57" s="21">
        <f t="shared" si="0"/>
        <v>14.27</v>
      </c>
      <c r="I57" s="21"/>
      <c r="J57" s="21">
        <f>ROUND(E57*H57,2)</f>
        <v>6524.24</v>
      </c>
    </row>
    <row r="58" spans="1:10" ht="45" x14ac:dyDescent="0.25">
      <c r="A58" s="18" t="s">
        <v>114</v>
      </c>
      <c r="B58" s="18">
        <v>97096</v>
      </c>
      <c r="C58" s="19" t="s">
        <v>35</v>
      </c>
      <c r="D58" s="20" t="s">
        <v>21</v>
      </c>
      <c r="E58" s="21">
        <f>15*7*0.2+30*0.15*0.15</f>
        <v>21.675000000000001</v>
      </c>
      <c r="F58" s="21">
        <v>733.92</v>
      </c>
      <c r="G58" s="21">
        <f t="shared" si="3"/>
        <v>1.2430000000000001</v>
      </c>
      <c r="H58" s="21">
        <f t="shared" si="0"/>
        <v>912.26</v>
      </c>
      <c r="I58" s="21"/>
      <c r="J58" s="21">
        <f>ROUND(E58*H58,2)</f>
        <v>19773.240000000002</v>
      </c>
    </row>
    <row r="59" spans="1:10" ht="45" x14ac:dyDescent="0.25">
      <c r="A59" s="18" t="s">
        <v>115</v>
      </c>
      <c r="B59" s="18">
        <v>89714</v>
      </c>
      <c r="C59" s="19" t="s">
        <v>42</v>
      </c>
      <c r="D59" s="20" t="s">
        <v>12</v>
      </c>
      <c r="E59" s="21">
        <f>15*7*0.2+30*0.15*0.15</f>
        <v>21.675000000000001</v>
      </c>
      <c r="F59" s="21">
        <v>4</v>
      </c>
      <c r="G59" s="21">
        <f>G58</f>
        <v>1.2430000000000001</v>
      </c>
      <c r="H59" s="21">
        <v>40.39</v>
      </c>
      <c r="I59" s="21"/>
      <c r="J59" s="21">
        <f>ROUND(E59*H59,2)</f>
        <v>875.45</v>
      </c>
    </row>
    <row r="60" spans="1:10" x14ac:dyDescent="0.25">
      <c r="A60" s="18"/>
      <c r="B60" s="18"/>
      <c r="C60" s="19"/>
      <c r="D60" s="20"/>
      <c r="E60" s="21"/>
      <c r="F60" s="21"/>
      <c r="G60" s="21"/>
      <c r="H60" s="21"/>
      <c r="I60" s="21"/>
      <c r="J60" s="21"/>
    </row>
    <row r="61" spans="1:10" x14ac:dyDescent="0.25">
      <c r="A61" s="18"/>
      <c r="B61" s="18"/>
      <c r="C61" s="19"/>
      <c r="D61" s="20"/>
      <c r="E61" s="21"/>
      <c r="F61" s="21"/>
      <c r="G61" s="21"/>
      <c r="H61" s="21"/>
      <c r="I61" s="21"/>
      <c r="J61" s="21"/>
    </row>
    <row r="62" spans="1:10" s="5" customFormat="1" x14ac:dyDescent="0.25">
      <c r="A62" s="27">
        <v>4</v>
      </c>
      <c r="B62" s="27"/>
      <c r="C62" s="28" t="s">
        <v>44</v>
      </c>
      <c r="D62" s="29"/>
      <c r="E62" s="30"/>
      <c r="F62" s="30"/>
      <c r="G62" s="30"/>
      <c r="H62" s="30"/>
      <c r="I62" s="30"/>
      <c r="J62" s="30">
        <f>SUM(J63:J66)</f>
        <v>31715.22</v>
      </c>
    </row>
    <row r="63" spans="1:10" ht="60" x14ac:dyDescent="0.25">
      <c r="A63" s="18" t="s">
        <v>116</v>
      </c>
      <c r="B63" s="18">
        <v>34481</v>
      </c>
      <c r="C63" s="19" t="s">
        <v>43</v>
      </c>
      <c r="D63" s="20" t="s">
        <v>21</v>
      </c>
      <c r="E63" s="21">
        <v>10.25</v>
      </c>
      <c r="F63" s="21">
        <v>743.07</v>
      </c>
      <c r="G63" s="21">
        <v>1.2436</v>
      </c>
      <c r="H63" s="21">
        <f t="shared" ref="H63" si="11">ROUND(G63*F63,2)</f>
        <v>924.08</v>
      </c>
      <c r="I63" s="21"/>
      <c r="J63" s="21">
        <f>ROUND(E63*H63,2)</f>
        <v>9471.82</v>
      </c>
    </row>
    <row r="64" spans="1:10" ht="30" x14ac:dyDescent="0.25">
      <c r="A64" s="18" t="s">
        <v>117</v>
      </c>
      <c r="B64" s="18">
        <v>3713823</v>
      </c>
      <c r="C64" s="19" t="s">
        <v>51</v>
      </c>
      <c r="D64" s="20" t="s">
        <v>12</v>
      </c>
      <c r="E64" s="21">
        <v>10.25</v>
      </c>
      <c r="F64" s="21">
        <v>200.86</v>
      </c>
      <c r="G64" s="21">
        <f>G63</f>
        <v>1.2436</v>
      </c>
      <c r="H64" s="21">
        <f t="shared" ref="H64" si="12">ROUND(G64*F64,2)</f>
        <v>249.79</v>
      </c>
      <c r="I64" s="21"/>
      <c r="J64" s="21">
        <f>ROUND(E64*H64,2)</f>
        <v>2560.35</v>
      </c>
    </row>
    <row r="65" spans="1:12" ht="30" x14ac:dyDescent="0.25">
      <c r="A65" s="18" t="s">
        <v>118</v>
      </c>
      <c r="B65" s="18">
        <v>3806386</v>
      </c>
      <c r="C65" s="19" t="s">
        <v>52</v>
      </c>
      <c r="D65" s="20" t="s">
        <v>12</v>
      </c>
      <c r="E65" s="21">
        <v>10.25</v>
      </c>
      <c r="F65" s="21">
        <v>751.21</v>
      </c>
      <c r="G65" s="21">
        <f>G64</f>
        <v>1.2436</v>
      </c>
      <c r="H65" s="21">
        <f t="shared" ref="H65" si="13">ROUND(G65*F65,2)</f>
        <v>934.2</v>
      </c>
      <c r="I65" s="21"/>
      <c r="J65" s="21">
        <f>ROUND(E65*H65,2)</f>
        <v>9575.5499999999993</v>
      </c>
    </row>
    <row r="66" spans="1:12" ht="30" x14ac:dyDescent="0.25">
      <c r="A66" s="18" t="s">
        <v>119</v>
      </c>
      <c r="B66" s="18">
        <v>103946</v>
      </c>
      <c r="C66" s="19" t="s">
        <v>45</v>
      </c>
      <c r="D66" s="20" t="s">
        <v>24</v>
      </c>
      <c r="E66" s="21">
        <v>650</v>
      </c>
      <c r="F66" s="21">
        <v>12.5</v>
      </c>
      <c r="G66" s="21">
        <f>G65</f>
        <v>1.2436</v>
      </c>
      <c r="H66" s="21">
        <f t="shared" ref="H66" si="14">ROUND(G66*F66,2)</f>
        <v>15.55</v>
      </c>
      <c r="I66" s="21"/>
      <c r="J66" s="21">
        <f>ROUND(E66*H66,2)</f>
        <v>10107.5</v>
      </c>
    </row>
    <row r="67" spans="1:12" x14ac:dyDescent="0.25">
      <c r="A67" s="18"/>
      <c r="B67" s="18"/>
      <c r="C67" s="19"/>
      <c r="D67" s="20"/>
      <c r="E67" s="21"/>
      <c r="F67" s="21"/>
      <c r="G67" s="21"/>
      <c r="H67" s="21"/>
      <c r="I67" s="21"/>
      <c r="J67" s="21"/>
    </row>
    <row r="68" spans="1:12" x14ac:dyDescent="0.25">
      <c r="A68" s="18"/>
      <c r="B68" s="18"/>
      <c r="C68" s="19"/>
      <c r="D68" s="20"/>
      <c r="E68" s="21"/>
      <c r="F68" s="21"/>
      <c r="G68" s="21"/>
      <c r="H68" s="31" t="s">
        <v>70</v>
      </c>
      <c r="I68" s="21"/>
      <c r="J68" s="30">
        <f>J62+J26+J15+J11</f>
        <v>488789.83999999991</v>
      </c>
      <c r="L68" s="3">
        <f>408000*1.2</f>
        <v>489600</v>
      </c>
    </row>
    <row r="69" spans="1:12" x14ac:dyDescent="0.25">
      <c r="L69">
        <f>408*1.2</f>
        <v>489.59999999999997</v>
      </c>
    </row>
  </sheetData>
  <phoneticPr fontId="8" type="noConversion"/>
  <pageMargins left="0.511811024" right="0.511811024" top="0.78740157499999996" bottom="0.78740157499999996" header="0.31496062000000002" footer="0.31496062000000002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36A20-6FD3-40EA-A4D9-89798E34F87D}">
  <dimension ref="A1:L29"/>
  <sheetViews>
    <sheetView view="pageBreakPreview" zoomScale="60" zoomScaleNormal="100" workbookViewId="0">
      <selection activeCell="K58" sqref="K58"/>
    </sheetView>
  </sheetViews>
  <sheetFormatPr defaultRowHeight="15" x14ac:dyDescent="0.25"/>
  <cols>
    <col min="1" max="1" width="34" bestFit="1" customWidth="1"/>
    <col min="2" max="2" width="13.28515625" bestFit="1" customWidth="1"/>
    <col min="3" max="7" width="11.5703125" bestFit="1" customWidth="1"/>
    <col min="8" max="9" width="11.5703125" customWidth="1"/>
    <col min="10" max="10" width="11.5703125" bestFit="1" customWidth="1"/>
    <col min="11" max="11" width="13.28515625" bestFit="1" customWidth="1"/>
    <col min="12" max="12" width="11.5703125" bestFit="1" customWidth="1"/>
  </cols>
  <sheetData>
    <row r="1" spans="1:12" x14ac:dyDescent="0.25">
      <c r="A1" s="36" t="s">
        <v>62</v>
      </c>
      <c r="B1" s="7"/>
      <c r="C1" s="8"/>
      <c r="D1" s="6"/>
      <c r="E1" s="4"/>
      <c r="F1" s="1"/>
      <c r="G1" s="1"/>
      <c r="H1" s="1"/>
      <c r="I1" s="1"/>
      <c r="J1" s="1"/>
      <c r="K1" s="1"/>
    </row>
    <row r="2" spans="1:12" ht="24" x14ac:dyDescent="0.4">
      <c r="A2" s="37" t="s">
        <v>63</v>
      </c>
      <c r="B2" s="9"/>
      <c r="C2" s="8"/>
      <c r="D2" s="6"/>
      <c r="E2" s="4"/>
      <c r="F2" s="1"/>
      <c r="G2" s="1"/>
      <c r="H2" s="1"/>
      <c r="I2" s="1"/>
      <c r="J2" s="1"/>
      <c r="K2" s="1"/>
    </row>
    <row r="3" spans="1:12" x14ac:dyDescent="0.25">
      <c r="A3" s="38"/>
      <c r="B3" s="10"/>
      <c r="C3" s="8"/>
      <c r="D3" s="6"/>
      <c r="E3" s="4"/>
      <c r="F3" s="1"/>
      <c r="G3" s="1"/>
      <c r="H3" s="1"/>
      <c r="I3" s="1"/>
      <c r="J3" s="1"/>
      <c r="K3" s="1"/>
    </row>
    <row r="4" spans="1:12" ht="14.25" customHeight="1" x14ac:dyDescent="0.25">
      <c r="A4" s="58" t="str">
        <f>ORÇAMENTO!C5</f>
        <v>PONTE SOBRE O RIO FEIJÃO - ZONA RURAL - LEOBERTO LEAL/SC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6" spans="1:12" ht="18.75" x14ac:dyDescent="0.3">
      <c r="A6" s="59" t="s">
        <v>121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x14ac:dyDescent="0.25">
      <c r="A7" s="60" t="s">
        <v>122</v>
      </c>
      <c r="B7" s="60" t="s">
        <v>123</v>
      </c>
      <c r="C7" s="61" t="s">
        <v>128</v>
      </c>
      <c r="D7" s="61"/>
      <c r="E7" s="61"/>
      <c r="F7" s="61"/>
      <c r="G7" s="61"/>
      <c r="H7" s="61"/>
      <c r="I7" s="61"/>
      <c r="J7" s="61"/>
      <c r="K7" s="60" t="s">
        <v>124</v>
      </c>
    </row>
    <row r="8" spans="1:12" x14ac:dyDescent="0.25">
      <c r="A8" s="60"/>
      <c r="B8" s="60"/>
      <c r="C8" s="39">
        <v>15</v>
      </c>
      <c r="D8" s="39">
        <v>30</v>
      </c>
      <c r="E8" s="39">
        <v>45</v>
      </c>
      <c r="F8" s="39">
        <v>60</v>
      </c>
      <c r="G8" s="39">
        <v>75</v>
      </c>
      <c r="H8" s="39">
        <v>90</v>
      </c>
      <c r="I8" s="39">
        <v>105</v>
      </c>
      <c r="J8" s="39">
        <v>120</v>
      </c>
      <c r="K8" s="60"/>
    </row>
    <row r="9" spans="1:12" x14ac:dyDescent="0.25">
      <c r="A9" s="62" t="str">
        <f>ORÇAMENTO!C11</f>
        <v>SERVIÇOS PRELIMINARES</v>
      </c>
      <c r="B9" s="63">
        <f>ORÇAMENTO!$J$11</f>
        <v>3990.98</v>
      </c>
      <c r="C9" s="3">
        <f>ROUND($B$9*C11,2)</f>
        <v>3990.98</v>
      </c>
      <c r="D9" s="49"/>
      <c r="E9" s="49"/>
      <c r="F9" s="49"/>
      <c r="G9" s="49"/>
      <c r="H9" s="49"/>
      <c r="I9" s="49"/>
      <c r="J9" s="49"/>
      <c r="K9" s="40">
        <f>SUM(C9:J9)</f>
        <v>3990.98</v>
      </c>
      <c r="L9" s="48">
        <f>B9-K9</f>
        <v>0</v>
      </c>
    </row>
    <row r="10" spans="1:12" ht="3.75" customHeight="1" x14ac:dyDescent="0.25">
      <c r="A10" s="62"/>
      <c r="B10" s="63"/>
      <c r="C10" s="41"/>
      <c r="D10" s="50"/>
      <c r="E10" s="50"/>
      <c r="F10" s="50"/>
      <c r="G10" s="50"/>
      <c r="H10" s="50"/>
      <c r="I10" s="50"/>
      <c r="J10" s="50"/>
      <c r="K10" s="42"/>
    </row>
    <row r="11" spans="1:12" x14ac:dyDescent="0.25">
      <c r="A11" s="62"/>
      <c r="B11" s="63"/>
      <c r="C11" s="51">
        <v>1</v>
      </c>
      <c r="D11" s="51"/>
      <c r="E11" s="51"/>
      <c r="F11" s="51"/>
      <c r="G11" s="51"/>
      <c r="H11" s="51"/>
      <c r="I11" s="51"/>
      <c r="J11" s="51"/>
      <c r="K11" s="44">
        <f>SUM(C11:J11)</f>
        <v>1</v>
      </c>
    </row>
    <row r="12" spans="1:12" x14ac:dyDescent="0.25">
      <c r="A12" s="62" t="str">
        <f>ORÇAMENTO!$C$15</f>
        <v>TERRAPLENAGEM</v>
      </c>
      <c r="B12" s="63">
        <f>ORÇAMENTO!J15</f>
        <v>120220.7</v>
      </c>
      <c r="C12" s="49">
        <f>ROUND($B$12*C14,2)</f>
        <v>48088.28</v>
      </c>
      <c r="D12" s="3">
        <f>ROUND($B$12*D14,2)</f>
        <v>48088.28</v>
      </c>
      <c r="E12" s="49"/>
      <c r="F12" s="49"/>
      <c r="G12" s="49"/>
      <c r="H12" s="49"/>
      <c r="I12" s="49"/>
      <c r="J12" s="3">
        <f>ROUND($B$12*J14,2)</f>
        <v>24044.14</v>
      </c>
      <c r="K12" s="40">
        <f>SUM(C12:J12)</f>
        <v>120220.7</v>
      </c>
      <c r="L12" s="48"/>
    </row>
    <row r="13" spans="1:12" ht="3.75" customHeight="1" x14ac:dyDescent="0.25">
      <c r="A13" s="62"/>
      <c r="B13" s="63"/>
      <c r="C13" s="41"/>
      <c r="D13" s="41"/>
      <c r="E13" s="50"/>
      <c r="F13" s="50"/>
      <c r="G13" s="50"/>
      <c r="H13" s="50"/>
      <c r="I13" s="50"/>
      <c r="J13" s="41"/>
      <c r="K13" s="42"/>
    </row>
    <row r="14" spans="1:12" x14ac:dyDescent="0.25">
      <c r="A14" s="62"/>
      <c r="B14" s="63"/>
      <c r="C14" s="51">
        <v>0.4</v>
      </c>
      <c r="D14" s="51">
        <v>0.4</v>
      </c>
      <c r="E14" s="51"/>
      <c r="F14" s="51"/>
      <c r="G14" s="51"/>
      <c r="H14" s="51"/>
      <c r="I14" s="51"/>
      <c r="J14" s="51">
        <v>0.2</v>
      </c>
      <c r="K14" s="44">
        <f>SUM(C14:J14)</f>
        <v>1</v>
      </c>
    </row>
    <row r="15" spans="1:12" x14ac:dyDescent="0.25">
      <c r="A15" s="53" t="str">
        <f>ORÇAMENTO!$C$26</f>
        <v>OBRA DE ARTE ESPECIAL (PONTE)</v>
      </c>
      <c r="B15" s="54">
        <f>ORÇAMENTO!J26</f>
        <v>332862.93999999994</v>
      </c>
      <c r="C15" s="55">
        <f>C16+C18+C21+C22</f>
        <v>0</v>
      </c>
      <c r="D15" s="55">
        <f t="shared" ref="D15:E15" si="0">D16+D19+D21+D22</f>
        <v>13843.68</v>
      </c>
      <c r="E15" s="55">
        <f t="shared" si="0"/>
        <v>66792.05</v>
      </c>
      <c r="F15" s="55">
        <f>F16+F19+F21+F22</f>
        <v>66185.47</v>
      </c>
      <c r="G15" s="55">
        <f t="shared" ref="G15:J15" si="1">G16+G19+G21+G22</f>
        <v>80337.62</v>
      </c>
      <c r="H15" s="55">
        <f t="shared" si="1"/>
        <v>80337.61</v>
      </c>
      <c r="I15" s="55">
        <f t="shared" si="1"/>
        <v>25367.510000000002</v>
      </c>
      <c r="J15" s="55">
        <f t="shared" si="1"/>
        <v>0</v>
      </c>
      <c r="K15" s="56">
        <f>SUM(C15:J15)</f>
        <v>332863.94</v>
      </c>
      <c r="L15" s="48"/>
    </row>
    <row r="16" spans="1:12" x14ac:dyDescent="0.25">
      <c r="A16" s="62" t="str">
        <f>ORÇAMENTO!$C$28</f>
        <v>Infraestrutura</v>
      </c>
      <c r="B16" s="63">
        <f>ORÇAMENTO!J28</f>
        <v>27687.360000000001</v>
      </c>
      <c r="C16" s="49">
        <f>ROUND($B$16*C18,2)</f>
        <v>0</v>
      </c>
      <c r="D16" s="3">
        <f t="shared" ref="D16:E16" si="2">ROUND($B$16*D18,2)</f>
        <v>13843.68</v>
      </c>
      <c r="E16" s="3">
        <f t="shared" si="2"/>
        <v>13843.68</v>
      </c>
      <c r="F16" s="49">
        <f t="shared" ref="F16:J16" si="3">ROUND($B$12*F18,2)</f>
        <v>0</v>
      </c>
      <c r="G16" s="49">
        <f t="shared" si="3"/>
        <v>0</v>
      </c>
      <c r="H16" s="49"/>
      <c r="I16" s="49"/>
      <c r="J16" s="49">
        <f t="shared" si="3"/>
        <v>0</v>
      </c>
      <c r="K16" s="40">
        <f>SUM(C16:J16)</f>
        <v>27687.360000000001</v>
      </c>
      <c r="L16" s="48"/>
    </row>
    <row r="17" spans="1:12" ht="3.75" customHeight="1" x14ac:dyDescent="0.25">
      <c r="A17" s="62"/>
      <c r="B17" s="63"/>
      <c r="C17" s="50"/>
      <c r="D17" s="41"/>
      <c r="E17" s="41"/>
      <c r="F17" s="50"/>
      <c r="G17" s="50"/>
      <c r="H17" s="50"/>
      <c r="I17" s="50"/>
      <c r="J17" s="50"/>
      <c r="K17" s="42"/>
    </row>
    <row r="18" spans="1:12" x14ac:dyDescent="0.25">
      <c r="A18" s="62"/>
      <c r="B18" s="63"/>
      <c r="C18" s="51"/>
      <c r="D18" s="43">
        <v>0.5</v>
      </c>
      <c r="E18" s="43">
        <v>0.5</v>
      </c>
      <c r="F18" s="51"/>
      <c r="G18" s="51"/>
      <c r="H18" s="51"/>
      <c r="I18" s="51"/>
      <c r="J18" s="51"/>
      <c r="K18" s="44">
        <f>SUM(C18:J18)</f>
        <v>1</v>
      </c>
      <c r="L18" s="48"/>
    </row>
    <row r="19" spans="1:12" x14ac:dyDescent="0.25">
      <c r="A19" s="62" t="str">
        <f>ORÇAMENTO!$C$32</f>
        <v>Mesoestrutura</v>
      </c>
      <c r="B19" s="63">
        <f>ORÇAMENTO!J32</f>
        <v>264740.86</v>
      </c>
      <c r="C19" s="49">
        <f t="shared" ref="C19:D19" si="4">ROUND($B$19*C21,2)</f>
        <v>0</v>
      </c>
      <c r="D19" s="49">
        <f t="shared" si="4"/>
        <v>0</v>
      </c>
      <c r="E19" s="3">
        <f>ROUND($B$19*E21,2)</f>
        <v>52948.17</v>
      </c>
      <c r="F19" s="3">
        <f t="shared" ref="F19:J19" si="5">ROUND($B$19*F21,2)</f>
        <v>66185.22</v>
      </c>
      <c r="G19" s="3">
        <f t="shared" si="5"/>
        <v>66185.22</v>
      </c>
      <c r="H19" s="3">
        <f>ROUND($B$19*H21,2)-0.01</f>
        <v>66185.210000000006</v>
      </c>
      <c r="I19" s="3">
        <f t="shared" si="5"/>
        <v>13237.04</v>
      </c>
      <c r="J19" s="49">
        <f t="shared" si="5"/>
        <v>0</v>
      </c>
      <c r="K19" s="40">
        <f>SUM(C19:J19)</f>
        <v>264740.86</v>
      </c>
      <c r="L19" s="48"/>
    </row>
    <row r="20" spans="1:12" ht="3.75" customHeight="1" x14ac:dyDescent="0.25">
      <c r="A20" s="62"/>
      <c r="B20" s="63"/>
      <c r="C20" s="50"/>
      <c r="D20" s="50"/>
      <c r="E20" s="41"/>
      <c r="F20" s="41"/>
      <c r="G20" s="41"/>
      <c r="H20" s="41"/>
      <c r="I20" s="41"/>
      <c r="J20" s="50"/>
      <c r="K20" s="42"/>
    </row>
    <row r="21" spans="1:12" x14ac:dyDescent="0.25">
      <c r="A21" s="62"/>
      <c r="B21" s="63"/>
      <c r="C21" s="51"/>
      <c r="D21" s="51"/>
      <c r="E21" s="43">
        <v>0.2</v>
      </c>
      <c r="F21" s="43">
        <v>0.25</v>
      </c>
      <c r="G21" s="51">
        <v>0.25</v>
      </c>
      <c r="H21" s="51">
        <v>0.25</v>
      </c>
      <c r="I21" s="51">
        <v>0.05</v>
      </c>
      <c r="J21" s="51"/>
      <c r="K21" s="44">
        <f>SUM(C21:J21)</f>
        <v>1</v>
      </c>
    </row>
    <row r="22" spans="1:12" x14ac:dyDescent="0.25">
      <c r="A22" s="62" t="str">
        <f>ORÇAMENTO!$C$54</f>
        <v>Superestrutura</v>
      </c>
      <c r="B22" s="63">
        <f>ORÇAMENTO!J54</f>
        <v>40434.720000000001</v>
      </c>
      <c r="C22" s="49">
        <f>ROUND($B$22*C24,2)</f>
        <v>0</v>
      </c>
      <c r="D22" s="49">
        <f t="shared" ref="D22:J22" si="6">ROUND($B$22*D24,2)</f>
        <v>0</v>
      </c>
      <c r="E22" s="49">
        <f t="shared" si="6"/>
        <v>0</v>
      </c>
      <c r="F22" s="49">
        <f t="shared" si="6"/>
        <v>0</v>
      </c>
      <c r="G22" s="49">
        <f t="shared" si="6"/>
        <v>14152.15</v>
      </c>
      <c r="H22" s="49">
        <f t="shared" si="6"/>
        <v>14152.15</v>
      </c>
      <c r="I22" s="49">
        <f t="shared" si="6"/>
        <v>12130.42</v>
      </c>
      <c r="J22" s="49">
        <f t="shared" si="6"/>
        <v>0</v>
      </c>
      <c r="K22" s="40">
        <f>SUM(C22:J22)</f>
        <v>40434.720000000001</v>
      </c>
      <c r="L22" s="48"/>
    </row>
    <row r="23" spans="1:12" ht="4.5" customHeight="1" x14ac:dyDescent="0.25">
      <c r="A23" s="62"/>
      <c r="B23" s="63"/>
      <c r="C23" s="50"/>
      <c r="D23" s="50"/>
      <c r="E23" s="50"/>
      <c r="F23" s="50"/>
      <c r="G23" s="41"/>
      <c r="H23" s="41"/>
      <c r="I23" s="41"/>
      <c r="J23" s="50"/>
      <c r="K23" s="42"/>
    </row>
    <row r="24" spans="1:12" x14ac:dyDescent="0.25">
      <c r="A24" s="62"/>
      <c r="B24" s="63"/>
      <c r="C24" s="52"/>
      <c r="D24" s="52"/>
      <c r="E24" s="52"/>
      <c r="F24" s="52"/>
      <c r="G24" s="52">
        <v>0.35</v>
      </c>
      <c r="H24" s="52">
        <v>0.35</v>
      </c>
      <c r="I24" s="52">
        <v>0.3</v>
      </c>
      <c r="J24" s="52"/>
      <c r="K24" s="44">
        <f>SUM(C24:J24)</f>
        <v>1</v>
      </c>
    </row>
    <row r="25" spans="1:12" x14ac:dyDescent="0.25">
      <c r="A25" s="62" t="str">
        <f>ORÇAMENTO!$C$62</f>
        <v>COMPLEMENTARES</v>
      </c>
      <c r="B25" s="63">
        <f>ORÇAMENTO!J62</f>
        <v>31715.22</v>
      </c>
      <c r="C25" s="49">
        <f>ROUND($B$25*C27,2)</f>
        <v>0</v>
      </c>
      <c r="D25" s="49">
        <f t="shared" ref="D25:J25" si="7">ROUND($B$25*D27,2)</f>
        <v>0</v>
      </c>
      <c r="E25" s="49">
        <f t="shared" si="7"/>
        <v>0</v>
      </c>
      <c r="F25" s="49">
        <f t="shared" si="7"/>
        <v>0</v>
      </c>
      <c r="G25" s="49">
        <f t="shared" si="7"/>
        <v>0</v>
      </c>
      <c r="H25" s="49">
        <f t="shared" si="7"/>
        <v>0</v>
      </c>
      <c r="I25" s="49">
        <f t="shared" si="7"/>
        <v>15857.61</v>
      </c>
      <c r="J25" s="49">
        <f t="shared" si="7"/>
        <v>15857.61</v>
      </c>
      <c r="K25" s="40">
        <f>SUM(C25:J25)</f>
        <v>31715.22</v>
      </c>
      <c r="L25" s="48"/>
    </row>
    <row r="26" spans="1:12" ht="4.5" customHeight="1" x14ac:dyDescent="0.25">
      <c r="A26" s="62"/>
      <c r="B26" s="63"/>
      <c r="C26" s="50"/>
      <c r="D26" s="50"/>
      <c r="E26" s="50"/>
      <c r="F26" s="50"/>
      <c r="G26" s="41"/>
      <c r="H26" s="41"/>
      <c r="I26" s="41"/>
      <c r="J26" s="41"/>
      <c r="K26" s="42"/>
    </row>
    <row r="27" spans="1:12" x14ac:dyDescent="0.25">
      <c r="A27" s="62"/>
      <c r="B27" s="63"/>
      <c r="C27" s="52"/>
      <c r="D27" s="52"/>
      <c r="E27" s="52"/>
      <c r="F27" s="52"/>
      <c r="G27" s="52"/>
      <c r="H27" s="52"/>
      <c r="I27" s="52">
        <v>0.5</v>
      </c>
      <c r="J27" s="52">
        <v>0.5</v>
      </c>
      <c r="K27" s="44">
        <f>SUM(C27:J27)</f>
        <v>1</v>
      </c>
    </row>
    <row r="28" spans="1:12" x14ac:dyDescent="0.25">
      <c r="A28" s="45" t="s">
        <v>125</v>
      </c>
      <c r="B28" s="46">
        <f>B9+B12+B16+B19+B22+B25</f>
        <v>488789.83999999997</v>
      </c>
      <c r="C28" s="46">
        <f>C9+C12+C16+C19+C22+C25</f>
        <v>52079.26</v>
      </c>
      <c r="D28" s="46">
        <f t="shared" ref="D28:J28" si="8">D9+D12+D16+D19+D22+D25</f>
        <v>61931.96</v>
      </c>
      <c r="E28" s="46">
        <f t="shared" si="8"/>
        <v>66791.850000000006</v>
      </c>
      <c r="F28" s="46">
        <f t="shared" si="8"/>
        <v>66185.22</v>
      </c>
      <c r="G28" s="46">
        <f t="shared" si="8"/>
        <v>80337.37</v>
      </c>
      <c r="H28" s="46">
        <f t="shared" ref="H28:I28" si="9">H9+H12+H16+H19+H22+H25</f>
        <v>80337.36</v>
      </c>
      <c r="I28" s="46">
        <f t="shared" si="9"/>
        <v>41225.07</v>
      </c>
      <c r="J28" s="46">
        <f t="shared" si="8"/>
        <v>39901.75</v>
      </c>
      <c r="K28" s="46">
        <f>SUM(C28:J28)</f>
        <v>488789.84</v>
      </c>
    </row>
    <row r="29" spans="1:12" x14ac:dyDescent="0.25">
      <c r="A29" s="45" t="s">
        <v>126</v>
      </c>
      <c r="B29" s="45"/>
      <c r="C29" s="47">
        <f t="shared" ref="C29:H29" si="10">ROUND(C28/$B$28,4)</f>
        <v>0.1065</v>
      </c>
      <c r="D29" s="47">
        <f t="shared" si="10"/>
        <v>0.12670000000000001</v>
      </c>
      <c r="E29" s="47">
        <f t="shared" si="10"/>
        <v>0.1366</v>
      </c>
      <c r="F29" s="47">
        <f t="shared" si="10"/>
        <v>0.13539999999999999</v>
      </c>
      <c r="G29" s="47">
        <f t="shared" si="10"/>
        <v>0.16439999999999999</v>
      </c>
      <c r="H29" s="47">
        <f t="shared" si="10"/>
        <v>0.16439999999999999</v>
      </c>
      <c r="I29" s="47">
        <f>ROUND(I28/$B$28,4)+0.0001</f>
        <v>8.4400000000000003E-2</v>
      </c>
      <c r="J29" s="47">
        <f>ROUND(J28/$B$28,4)</f>
        <v>8.1600000000000006E-2</v>
      </c>
      <c r="K29" s="47">
        <f>SUM(C29:J29)</f>
        <v>1</v>
      </c>
    </row>
  </sheetData>
  <mergeCells count="18">
    <mergeCell ref="A25:A27"/>
    <mergeCell ref="B25:B27"/>
    <mergeCell ref="A9:A11"/>
    <mergeCell ref="B9:B11"/>
    <mergeCell ref="A12:A14"/>
    <mergeCell ref="B12:B14"/>
    <mergeCell ref="A22:A24"/>
    <mergeCell ref="B22:B24"/>
    <mergeCell ref="A16:A18"/>
    <mergeCell ref="B16:B18"/>
    <mergeCell ref="A19:A21"/>
    <mergeCell ref="B19:B21"/>
    <mergeCell ref="A4:K4"/>
    <mergeCell ref="A6:K6"/>
    <mergeCell ref="A7:A8"/>
    <mergeCell ref="B7:B8"/>
    <mergeCell ref="C7:J7"/>
    <mergeCell ref="K7:K8"/>
  </mergeCells>
  <pageMargins left="0.511811024" right="0.511811024" top="0.78740157499999996" bottom="0.78740157499999996" header="0.31496062000000002" footer="0.31496062000000002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6F91-118B-49D6-BC03-C917C738259D}">
  <dimension ref="A1:L29"/>
  <sheetViews>
    <sheetView workbookViewId="0">
      <selection activeCell="F41" sqref="F41"/>
    </sheetView>
  </sheetViews>
  <sheetFormatPr defaultRowHeight="15" x14ac:dyDescent="0.25"/>
  <cols>
    <col min="1" max="1" width="34" bestFit="1" customWidth="1"/>
    <col min="2" max="2" width="13.28515625" hidden="1" customWidth="1"/>
    <col min="3" max="7" width="11.5703125" bestFit="1" customWidth="1"/>
    <col min="8" max="9" width="11.5703125" customWidth="1"/>
    <col min="10" max="10" width="11.5703125" bestFit="1" customWidth="1"/>
    <col min="11" max="11" width="13.28515625" hidden="1" customWidth="1"/>
    <col min="12" max="12" width="11.5703125" bestFit="1" customWidth="1"/>
  </cols>
  <sheetData>
    <row r="1" spans="1:12" x14ac:dyDescent="0.25">
      <c r="A1" s="36" t="s">
        <v>62</v>
      </c>
      <c r="B1" s="7"/>
      <c r="C1" s="8"/>
      <c r="D1" s="6"/>
      <c r="E1" s="4"/>
      <c r="F1" s="1"/>
      <c r="G1" s="1"/>
      <c r="H1" s="1"/>
      <c r="I1" s="1"/>
      <c r="J1" s="1"/>
      <c r="K1" s="1"/>
    </row>
    <row r="2" spans="1:12" ht="24" x14ac:dyDescent="0.4">
      <c r="A2" s="37" t="s">
        <v>63</v>
      </c>
      <c r="B2" s="9"/>
      <c r="C2" s="8"/>
      <c r="D2" s="6"/>
      <c r="E2" s="4"/>
      <c r="F2" s="1"/>
      <c r="G2" s="1"/>
      <c r="H2" s="1"/>
      <c r="I2" s="1"/>
      <c r="J2" s="1"/>
      <c r="K2" s="1"/>
    </row>
    <row r="3" spans="1:12" x14ac:dyDescent="0.25">
      <c r="A3" s="38"/>
      <c r="B3" s="10"/>
      <c r="C3" s="8"/>
      <c r="D3" s="6"/>
      <c r="E3" s="4"/>
      <c r="F3" s="1"/>
      <c r="G3" s="1"/>
      <c r="H3" s="1"/>
      <c r="I3" s="1"/>
      <c r="J3" s="1"/>
      <c r="K3" s="1"/>
    </row>
    <row r="4" spans="1:12" ht="14.25" customHeight="1" x14ac:dyDescent="0.25">
      <c r="A4" s="58" t="str">
        <f>ORÇAMENTO!C5</f>
        <v>PONTE SOBRE O RIO FEIJÃO - ZONA RURAL - LEOBERTO LEAL/SC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6" spans="1:12" ht="18.75" x14ac:dyDescent="0.3">
      <c r="A6" s="59" t="s">
        <v>129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x14ac:dyDescent="0.25">
      <c r="A7" s="60" t="s">
        <v>122</v>
      </c>
      <c r="B7" s="60" t="s">
        <v>123</v>
      </c>
      <c r="C7" s="61" t="s">
        <v>128</v>
      </c>
      <c r="D7" s="61"/>
      <c r="E7" s="61"/>
      <c r="F7" s="61"/>
      <c r="G7" s="61"/>
      <c r="H7" s="61"/>
      <c r="I7" s="61"/>
      <c r="J7" s="61"/>
      <c r="K7" s="60" t="s">
        <v>124</v>
      </c>
    </row>
    <row r="8" spans="1:12" x14ac:dyDescent="0.25">
      <c r="A8" s="60"/>
      <c r="B8" s="60"/>
      <c r="C8" s="39">
        <v>15</v>
      </c>
      <c r="D8" s="39">
        <v>30</v>
      </c>
      <c r="E8" s="39">
        <v>45</v>
      </c>
      <c r="F8" s="39">
        <v>60</v>
      </c>
      <c r="G8" s="39">
        <v>75</v>
      </c>
      <c r="H8" s="39">
        <v>90</v>
      </c>
      <c r="I8" s="39">
        <v>105</v>
      </c>
      <c r="J8" s="39">
        <v>120</v>
      </c>
      <c r="K8" s="60"/>
    </row>
    <row r="9" spans="1:12" hidden="1" x14ac:dyDescent="0.25">
      <c r="A9" s="62" t="str">
        <f>ORÇAMENTO!C11</f>
        <v>SERVIÇOS PRELIMINARES</v>
      </c>
      <c r="B9" s="63">
        <f>ORÇAMENTO!$J$11</f>
        <v>3990.98</v>
      </c>
      <c r="C9" s="3">
        <f>ROUND($B$9*C11,2)</f>
        <v>3990.98</v>
      </c>
      <c r="D9" s="49"/>
      <c r="E9" s="49"/>
      <c r="F9" s="49"/>
      <c r="G9" s="49"/>
      <c r="H9" s="49"/>
      <c r="I9" s="49"/>
      <c r="J9" s="49"/>
      <c r="K9" s="40">
        <f>SUM(C9:J9)</f>
        <v>3990.98</v>
      </c>
      <c r="L9" s="48">
        <f>B9-K9</f>
        <v>0</v>
      </c>
    </row>
    <row r="10" spans="1:12" ht="3.75" customHeight="1" x14ac:dyDescent="0.25">
      <c r="A10" s="62"/>
      <c r="B10" s="63"/>
      <c r="C10" s="41"/>
      <c r="D10" s="50"/>
      <c r="E10" s="50"/>
      <c r="F10" s="50"/>
      <c r="G10" s="50"/>
      <c r="H10" s="50"/>
      <c r="I10" s="50"/>
      <c r="J10" s="50"/>
      <c r="K10" s="42"/>
    </row>
    <row r="11" spans="1:12" x14ac:dyDescent="0.25">
      <c r="A11" s="62"/>
      <c r="B11" s="63"/>
      <c r="C11" s="51">
        <v>1</v>
      </c>
      <c r="D11" s="51"/>
      <c r="E11" s="51"/>
      <c r="F11" s="51"/>
      <c r="G11" s="51"/>
      <c r="H11" s="51"/>
      <c r="I11" s="51"/>
      <c r="J11" s="51"/>
      <c r="K11" s="44">
        <f>SUM(C11:J11)</f>
        <v>1</v>
      </c>
    </row>
    <row r="12" spans="1:12" hidden="1" x14ac:dyDescent="0.25">
      <c r="A12" s="62" t="str">
        <f>ORÇAMENTO!$C$15</f>
        <v>TERRAPLENAGEM</v>
      </c>
      <c r="B12" s="63">
        <f>ORÇAMENTO!J15</f>
        <v>120220.7</v>
      </c>
      <c r="C12" s="49">
        <f>ROUND($B$12*C14,2)</f>
        <v>48088.28</v>
      </c>
      <c r="D12" s="3">
        <f>ROUND($B$12*D14,2)</f>
        <v>48088.28</v>
      </c>
      <c r="E12" s="49"/>
      <c r="F12" s="49"/>
      <c r="G12" s="49"/>
      <c r="H12" s="49"/>
      <c r="I12" s="49"/>
      <c r="J12" s="3">
        <f>ROUND($B$12*J14,2)</f>
        <v>24044.14</v>
      </c>
      <c r="K12" s="40">
        <f>SUM(C12:J12)</f>
        <v>120220.7</v>
      </c>
      <c r="L12" s="48"/>
    </row>
    <row r="13" spans="1:12" ht="3.75" customHeight="1" x14ac:dyDescent="0.25">
      <c r="A13" s="62"/>
      <c r="B13" s="63"/>
      <c r="C13" s="41"/>
      <c r="D13" s="41"/>
      <c r="E13" s="50"/>
      <c r="F13" s="50"/>
      <c r="G13" s="50"/>
      <c r="H13" s="50"/>
      <c r="I13" s="50"/>
      <c r="J13" s="41"/>
      <c r="K13" s="42"/>
    </row>
    <row r="14" spans="1:12" x14ac:dyDescent="0.25">
      <c r="A14" s="62"/>
      <c r="B14" s="63"/>
      <c r="C14" s="51">
        <v>0.4</v>
      </c>
      <c r="D14" s="51">
        <v>0.4</v>
      </c>
      <c r="E14" s="51"/>
      <c r="F14" s="51"/>
      <c r="G14" s="51"/>
      <c r="H14" s="51"/>
      <c r="I14" s="51"/>
      <c r="J14" s="51">
        <v>0.2</v>
      </c>
      <c r="K14" s="44">
        <f>SUM(C14:J14)</f>
        <v>1</v>
      </c>
    </row>
    <row r="15" spans="1:12" x14ac:dyDescent="0.25">
      <c r="A15" s="53" t="str">
        <f>ORÇAMENTO!$C$26</f>
        <v>OBRA DE ARTE ESPECIAL (PONTE)</v>
      </c>
      <c r="B15" s="54">
        <f>ORÇAMENTO!J26</f>
        <v>332862.93999999994</v>
      </c>
      <c r="C15" s="55">
        <f>C16+C18+C21+C22</f>
        <v>0</v>
      </c>
      <c r="D15" s="57">
        <f>ROUND((D16+D19+D22)/$B$15,4)</f>
        <v>4.1599999999999998E-2</v>
      </c>
      <c r="E15" s="57">
        <f t="shared" ref="E15:I15" si="0">ROUND((E16+E19+E22)/$B$15,4)</f>
        <v>0.20069999999999999</v>
      </c>
      <c r="F15" s="57">
        <f t="shared" si="0"/>
        <v>0.1988</v>
      </c>
      <c r="G15" s="57">
        <f t="shared" si="0"/>
        <v>0.2414</v>
      </c>
      <c r="H15" s="57">
        <f t="shared" si="0"/>
        <v>0.2414</v>
      </c>
      <c r="I15" s="57">
        <f t="shared" si="0"/>
        <v>7.6200000000000004E-2</v>
      </c>
      <c r="J15" s="55">
        <f t="shared" ref="J15" si="1">J16+J19+J21+J22</f>
        <v>0</v>
      </c>
      <c r="K15" s="56">
        <f>SUM(C15:J15)</f>
        <v>1.0001</v>
      </c>
      <c r="L15" s="48"/>
    </row>
    <row r="16" spans="1:12" hidden="1" x14ac:dyDescent="0.25">
      <c r="A16" s="62" t="str">
        <f>ORÇAMENTO!$C$28</f>
        <v>Infraestrutura</v>
      </c>
      <c r="B16" s="63">
        <f>ORÇAMENTO!J28</f>
        <v>27687.360000000001</v>
      </c>
      <c r="C16" s="49">
        <f>ROUND($B$16*C18,2)</f>
        <v>0</v>
      </c>
      <c r="D16" s="3">
        <f t="shared" ref="D16:E16" si="2">ROUND($B$16*D18,2)</f>
        <v>13843.68</v>
      </c>
      <c r="E16" s="3">
        <f t="shared" si="2"/>
        <v>13843.68</v>
      </c>
      <c r="F16" s="49">
        <f t="shared" ref="F16:J16" si="3">ROUND($B$12*F18,2)</f>
        <v>0</v>
      </c>
      <c r="G16" s="49">
        <f t="shared" si="3"/>
        <v>0</v>
      </c>
      <c r="H16" s="49"/>
      <c r="I16" s="49"/>
      <c r="J16" s="49">
        <f t="shared" si="3"/>
        <v>0</v>
      </c>
      <c r="K16" s="40">
        <f>SUM(C16:J16)</f>
        <v>27687.360000000001</v>
      </c>
      <c r="L16" s="48"/>
    </row>
    <row r="17" spans="1:12" ht="3.75" customHeight="1" x14ac:dyDescent="0.25">
      <c r="A17" s="62"/>
      <c r="B17" s="63"/>
      <c r="C17" s="50"/>
      <c r="D17" s="41"/>
      <c r="E17" s="41"/>
      <c r="F17" s="50"/>
      <c r="G17" s="50"/>
      <c r="H17" s="50"/>
      <c r="I17" s="50"/>
      <c r="J17" s="50"/>
      <c r="K17" s="42"/>
    </row>
    <row r="18" spans="1:12" x14ac:dyDescent="0.25">
      <c r="A18" s="62"/>
      <c r="B18" s="63"/>
      <c r="C18" s="51"/>
      <c r="D18" s="43">
        <v>0.5</v>
      </c>
      <c r="E18" s="43">
        <v>0.5</v>
      </c>
      <c r="F18" s="51"/>
      <c r="G18" s="51"/>
      <c r="H18" s="51"/>
      <c r="I18" s="51"/>
      <c r="J18" s="51"/>
      <c r="K18" s="44">
        <f>SUM(C18:J18)</f>
        <v>1</v>
      </c>
      <c r="L18" s="48"/>
    </row>
    <row r="19" spans="1:12" hidden="1" x14ac:dyDescent="0.25">
      <c r="A19" s="62" t="str">
        <f>ORÇAMENTO!$C$32</f>
        <v>Mesoestrutura</v>
      </c>
      <c r="B19" s="63">
        <f>ORÇAMENTO!J32</f>
        <v>264740.86</v>
      </c>
      <c r="C19" s="49">
        <f t="shared" ref="C19:D19" si="4">ROUND($B$19*C21,2)</f>
        <v>0</v>
      </c>
      <c r="D19" s="49">
        <f t="shared" si="4"/>
        <v>0</v>
      </c>
      <c r="E19" s="3">
        <f>ROUND($B$19*E21,2)</f>
        <v>52948.17</v>
      </c>
      <c r="F19" s="3">
        <f t="shared" ref="F19:J19" si="5">ROUND($B$19*F21,2)</f>
        <v>66185.22</v>
      </c>
      <c r="G19" s="3">
        <f t="shared" si="5"/>
        <v>66185.22</v>
      </c>
      <c r="H19" s="3">
        <f>ROUND($B$19*H21,2)-0.01</f>
        <v>66185.210000000006</v>
      </c>
      <c r="I19" s="3">
        <f t="shared" si="5"/>
        <v>13237.04</v>
      </c>
      <c r="J19" s="49">
        <f t="shared" si="5"/>
        <v>0</v>
      </c>
      <c r="K19" s="40">
        <f>SUM(C19:J19)</f>
        <v>264740.86</v>
      </c>
      <c r="L19" s="48"/>
    </row>
    <row r="20" spans="1:12" ht="3.75" customHeight="1" x14ac:dyDescent="0.25">
      <c r="A20" s="62"/>
      <c r="B20" s="63"/>
      <c r="C20" s="50"/>
      <c r="D20" s="50"/>
      <c r="E20" s="41"/>
      <c r="F20" s="41"/>
      <c r="G20" s="41"/>
      <c r="H20" s="41"/>
      <c r="I20" s="41"/>
      <c r="J20" s="50"/>
      <c r="K20" s="42"/>
    </row>
    <row r="21" spans="1:12" x14ac:dyDescent="0.25">
      <c r="A21" s="62"/>
      <c r="B21" s="63"/>
      <c r="C21" s="51"/>
      <c r="D21" s="51"/>
      <c r="E21" s="43">
        <v>0.2</v>
      </c>
      <c r="F21" s="43">
        <v>0.25</v>
      </c>
      <c r="G21" s="51">
        <v>0.25</v>
      </c>
      <c r="H21" s="51">
        <v>0.25</v>
      </c>
      <c r="I21" s="51">
        <v>0.05</v>
      </c>
      <c r="J21" s="51"/>
      <c r="K21" s="44">
        <f>SUM(C21:J21)</f>
        <v>1</v>
      </c>
    </row>
    <row r="22" spans="1:12" hidden="1" x14ac:dyDescent="0.25">
      <c r="A22" s="62" t="str">
        <f>ORÇAMENTO!$C$54</f>
        <v>Superestrutura</v>
      </c>
      <c r="B22" s="63">
        <f>ORÇAMENTO!J54</f>
        <v>40434.720000000001</v>
      </c>
      <c r="C22" s="49">
        <f>ROUND($B$22*C24,2)</f>
        <v>0</v>
      </c>
      <c r="D22" s="49">
        <f t="shared" ref="D22:J22" si="6">ROUND($B$22*D24,2)</f>
        <v>0</v>
      </c>
      <c r="E22" s="49">
        <f t="shared" si="6"/>
        <v>0</v>
      </c>
      <c r="F22" s="49">
        <f t="shared" si="6"/>
        <v>0</v>
      </c>
      <c r="G22" s="49">
        <f t="shared" si="6"/>
        <v>14152.15</v>
      </c>
      <c r="H22" s="49">
        <f t="shared" si="6"/>
        <v>14152.15</v>
      </c>
      <c r="I22" s="49">
        <f t="shared" si="6"/>
        <v>12130.42</v>
      </c>
      <c r="J22" s="49">
        <f t="shared" si="6"/>
        <v>0</v>
      </c>
      <c r="K22" s="40">
        <f>SUM(C22:J22)</f>
        <v>40434.720000000001</v>
      </c>
      <c r="L22" s="48"/>
    </row>
    <row r="23" spans="1:12" ht="4.5" customHeight="1" x14ac:dyDescent="0.25">
      <c r="A23" s="62"/>
      <c r="B23" s="63"/>
      <c r="C23" s="50"/>
      <c r="D23" s="50"/>
      <c r="E23" s="50"/>
      <c r="F23" s="50"/>
      <c r="G23" s="41"/>
      <c r="H23" s="41"/>
      <c r="I23" s="41"/>
      <c r="J23" s="50"/>
      <c r="K23" s="42"/>
    </row>
    <row r="24" spans="1:12" x14ac:dyDescent="0.25">
      <c r="A24" s="62"/>
      <c r="B24" s="63"/>
      <c r="C24" s="52"/>
      <c r="D24" s="52"/>
      <c r="E24" s="52"/>
      <c r="F24" s="52"/>
      <c r="G24" s="52">
        <v>0.35</v>
      </c>
      <c r="H24" s="52">
        <v>0.35</v>
      </c>
      <c r="I24" s="52">
        <v>0.3</v>
      </c>
      <c r="J24" s="52"/>
      <c r="K24" s="44">
        <f>SUM(C24:J24)</f>
        <v>1</v>
      </c>
    </row>
    <row r="25" spans="1:12" hidden="1" x14ac:dyDescent="0.25">
      <c r="A25" s="62" t="str">
        <f>ORÇAMENTO!$C$62</f>
        <v>COMPLEMENTARES</v>
      </c>
      <c r="B25" s="63">
        <f>ORÇAMENTO!J62</f>
        <v>31715.22</v>
      </c>
      <c r="C25" s="49">
        <f>ROUND($B$25*C27,2)</f>
        <v>0</v>
      </c>
      <c r="D25" s="49">
        <f t="shared" ref="D25:J25" si="7">ROUND($B$25*D27,2)</f>
        <v>0</v>
      </c>
      <c r="E25" s="49">
        <f t="shared" si="7"/>
        <v>0</v>
      </c>
      <c r="F25" s="49">
        <f t="shared" si="7"/>
        <v>0</v>
      </c>
      <c r="G25" s="49">
        <f t="shared" si="7"/>
        <v>0</v>
      </c>
      <c r="H25" s="49">
        <f t="shared" si="7"/>
        <v>0</v>
      </c>
      <c r="I25" s="49">
        <f t="shared" si="7"/>
        <v>15857.61</v>
      </c>
      <c r="J25" s="49">
        <f t="shared" si="7"/>
        <v>15857.61</v>
      </c>
      <c r="K25" s="40">
        <f>SUM(C25:J25)</f>
        <v>31715.22</v>
      </c>
      <c r="L25" s="48"/>
    </row>
    <row r="26" spans="1:12" ht="4.5" customHeight="1" x14ac:dyDescent="0.25">
      <c r="A26" s="62"/>
      <c r="B26" s="63"/>
      <c r="C26" s="50"/>
      <c r="D26" s="50"/>
      <c r="E26" s="50"/>
      <c r="F26" s="50"/>
      <c r="G26" s="41"/>
      <c r="H26" s="41"/>
      <c r="I26" s="41"/>
      <c r="J26" s="41"/>
      <c r="K26" s="42"/>
    </row>
    <row r="27" spans="1:12" x14ac:dyDescent="0.25">
      <c r="A27" s="62"/>
      <c r="B27" s="63"/>
      <c r="C27" s="52"/>
      <c r="D27" s="52"/>
      <c r="E27" s="52"/>
      <c r="F27" s="52"/>
      <c r="G27" s="52"/>
      <c r="H27" s="52"/>
      <c r="I27" s="52">
        <v>0.5</v>
      </c>
      <c r="J27" s="52">
        <v>0.5</v>
      </c>
      <c r="K27" s="44">
        <f>SUM(C27:J27)</f>
        <v>1</v>
      </c>
    </row>
    <row r="28" spans="1:12" hidden="1" x14ac:dyDescent="0.25">
      <c r="A28" s="45" t="s">
        <v>125</v>
      </c>
      <c r="B28" s="46">
        <f>B9+B12+B16+B19+B22+B25</f>
        <v>488789.83999999997</v>
      </c>
      <c r="C28" s="46">
        <f>C9+C12+C16+C19+C22+C25</f>
        <v>52079.26</v>
      </c>
      <c r="D28" s="46">
        <f t="shared" ref="D28:J28" si="8">D9+D12+D16+D19+D22+D25</f>
        <v>61931.96</v>
      </c>
      <c r="E28" s="46">
        <f t="shared" si="8"/>
        <v>66791.850000000006</v>
      </c>
      <c r="F28" s="46">
        <f t="shared" si="8"/>
        <v>66185.22</v>
      </c>
      <c r="G28" s="46">
        <f t="shared" si="8"/>
        <v>80337.37</v>
      </c>
      <c r="H28" s="46">
        <f t="shared" si="8"/>
        <v>80337.36</v>
      </c>
      <c r="I28" s="46">
        <f t="shared" si="8"/>
        <v>41225.07</v>
      </c>
      <c r="J28" s="46">
        <f t="shared" si="8"/>
        <v>39901.75</v>
      </c>
      <c r="K28" s="46">
        <f>SUM(C28:J28)</f>
        <v>488789.84</v>
      </c>
    </row>
    <row r="29" spans="1:12" x14ac:dyDescent="0.25">
      <c r="A29" s="45" t="s">
        <v>126</v>
      </c>
      <c r="B29" s="45"/>
      <c r="C29" s="47">
        <f t="shared" ref="C29:H29" si="9">ROUND(C28/$B$28,4)</f>
        <v>0.1065</v>
      </c>
      <c r="D29" s="47">
        <f t="shared" si="9"/>
        <v>0.12670000000000001</v>
      </c>
      <c r="E29" s="47">
        <f t="shared" si="9"/>
        <v>0.1366</v>
      </c>
      <c r="F29" s="47">
        <f t="shared" si="9"/>
        <v>0.13539999999999999</v>
      </c>
      <c r="G29" s="47">
        <f t="shared" si="9"/>
        <v>0.16439999999999999</v>
      </c>
      <c r="H29" s="47">
        <f t="shared" si="9"/>
        <v>0.16439999999999999</v>
      </c>
      <c r="I29" s="47">
        <f>ROUND(I28/$B$28,4)+0.0001</f>
        <v>8.4400000000000003E-2</v>
      </c>
      <c r="J29" s="47">
        <f>ROUND(J28/$B$28,4)</f>
        <v>8.1600000000000006E-2</v>
      </c>
      <c r="K29" s="47">
        <f>SUM(C29:J29)</f>
        <v>1</v>
      </c>
    </row>
  </sheetData>
  <mergeCells count="18">
    <mergeCell ref="A19:A21"/>
    <mergeCell ref="B19:B21"/>
    <mergeCell ref="A22:A24"/>
    <mergeCell ref="B22:B24"/>
    <mergeCell ref="A25:A27"/>
    <mergeCell ref="B25:B27"/>
    <mergeCell ref="A9:A11"/>
    <mergeCell ref="B9:B11"/>
    <mergeCell ref="A12:A14"/>
    <mergeCell ref="B12:B14"/>
    <mergeCell ref="A16:A18"/>
    <mergeCell ref="B16:B18"/>
    <mergeCell ref="A4:K4"/>
    <mergeCell ref="A6:K6"/>
    <mergeCell ref="A7:A8"/>
    <mergeCell ref="B7:B8"/>
    <mergeCell ref="C7:J7"/>
    <mergeCell ref="K7:K8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ORÇAMENTO</vt:lpstr>
      <vt:lpstr>CRONOGRAMA</vt:lpstr>
      <vt:lpstr>CRONOGRAMA (2)</vt:lpstr>
      <vt:lpstr>CRONOGRAMA!Area_de_impressao</vt:lpstr>
      <vt:lpstr>ORÇAMENTO!Area_de_impressao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Claudiomar Medeiros</dc:creator>
  <cp:lastModifiedBy>user</cp:lastModifiedBy>
  <cp:lastPrinted>2025-11-03T17:20:18Z</cp:lastPrinted>
  <dcterms:created xsi:type="dcterms:W3CDTF">2025-11-03T11:05:58Z</dcterms:created>
  <dcterms:modified xsi:type="dcterms:W3CDTF">2026-02-10T11:00:20Z</dcterms:modified>
</cp:coreProperties>
</file>